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60" yWindow="228" windowWidth="10056" windowHeight="11340" activeTab="0"/>
  </bookViews>
  <sheets>
    <sheet name="2 додаток" sheetId="1" r:id="rId1"/>
  </sheets>
  <definedNames>
    <definedName name="_xlnm.Print_Titles" localSheetId="0">'2 додаток'!$9:$13</definedName>
    <definedName name="_xlnm.Print_Area" localSheetId="0">'2 додаток'!$C$1:$V$345</definedName>
  </definedNames>
  <calcPr fullCalcOnLoad="1"/>
</workbook>
</file>

<file path=xl/sharedStrings.xml><?xml version="1.0" encoding="utf-8"?>
<sst xmlns="http://schemas.openxmlformats.org/spreadsheetml/2006/main" count="678" uniqueCount="492">
  <si>
    <t>Резервний фонд</t>
  </si>
  <si>
    <t>видатки розвитку</t>
  </si>
  <si>
    <t>Надання позашкільної освіти позашкільними закладами освіти, заходи із позашкільної роботи з дітьми</t>
  </si>
  <si>
    <t xml:space="preserve">  </t>
  </si>
  <si>
    <t xml:space="preserve"> - міська програма розвитку футболу в м.Южноукраїнську на 2013-2016 роки</t>
  </si>
  <si>
    <t>Разом:</t>
  </si>
  <si>
    <t>Разом :</t>
  </si>
  <si>
    <t>1000000</t>
  </si>
  <si>
    <t>1010000</t>
  </si>
  <si>
    <t>Фізична культура і спорт</t>
  </si>
  <si>
    <t>Разом</t>
  </si>
  <si>
    <t>Всього видатки бюджету міста:</t>
  </si>
  <si>
    <t xml:space="preserve">Реверсна дотація </t>
  </si>
  <si>
    <t xml:space="preserve"> -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</si>
  <si>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 за рахунок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</si>
  <si>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t>
  </si>
  <si>
    <t xml:space="preserve"> -міській програмі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</si>
  <si>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розвитку дорожнього руху та його безпеки в місті Южноукраїнську на 2013-2017 роки  </t>
  </si>
  <si>
    <t xml:space="preserve"> - програма охорони довкілля та раціонального природокористування міста Южноукраїнська на 2016-2020 роки</t>
  </si>
  <si>
    <t xml:space="preserve"> - освітньої субвенції </t>
  </si>
  <si>
    <t xml:space="preserve"> - медичної субвенції</t>
  </si>
  <si>
    <t xml:space="preserve"> - міська програма реформування і розвитку житлово - комунального господарства міста Южноукраїнська на 2016-2020 роки </t>
  </si>
  <si>
    <t xml:space="preserve"> -  міська програма управління  майном комунальної форми власності  міста Южноукраїнська на 2015-2019 роки</t>
  </si>
  <si>
    <t xml:space="preserve"> - міська програма управління  майном комунальної форми власності  міста Южноукраїнська на 2015-2019 роки </t>
  </si>
  <si>
    <t>Т.О.Гончарова</t>
  </si>
  <si>
    <t xml:space="preserve"> - за рахунок субвенції на здійснення заходів щодо соціально-економічного розвитку окремих територій</t>
  </si>
  <si>
    <t>Сприяння розвиту малого та середнього підприємництва</t>
  </si>
  <si>
    <t xml:space="preserve"> - кошти міського бюджету</t>
  </si>
  <si>
    <t xml:space="preserve"> -  субвенції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I - II групи з числа військовослужбовців, які брали участь у зазначеній операції, та потребують поліпшення житлових умов</t>
  </si>
  <si>
    <t>0180</t>
  </si>
  <si>
    <t>0111</t>
  </si>
  <si>
    <t>0490</t>
  </si>
  <si>
    <t>0411</t>
  </si>
  <si>
    <t>0160</t>
  </si>
  <si>
    <t>1010</t>
  </si>
  <si>
    <t>0910</t>
  </si>
  <si>
    <t>1020</t>
  </si>
  <si>
    <t>0921</t>
  </si>
  <si>
    <t>1090</t>
  </si>
  <si>
    <t>0960</t>
  </si>
  <si>
    <t>0990</t>
  </si>
  <si>
    <t>0133</t>
  </si>
  <si>
    <t>1070</t>
  </si>
  <si>
    <t>1040</t>
  </si>
  <si>
    <t>1060</t>
  </si>
  <si>
    <t>0763</t>
  </si>
  <si>
    <t>1030</t>
  </si>
  <si>
    <t>3035</t>
  </si>
  <si>
    <t xml:space="preserve"> - міська комплексна програма "Турбота" на 2013 - 2017 роки</t>
  </si>
  <si>
    <t>3050</t>
  </si>
  <si>
    <t>3090</t>
  </si>
  <si>
    <t>3104</t>
  </si>
  <si>
    <t>3180</t>
  </si>
  <si>
    <t>1050</t>
  </si>
  <si>
    <t>3112</t>
  </si>
  <si>
    <t>6030</t>
  </si>
  <si>
    <t>0620</t>
  </si>
  <si>
    <t xml:space="preserve"> - міська програма енергозбереження в сфері житлово - комунального господарства м.Южноукраїнська   на 2016-2020 роки</t>
  </si>
  <si>
    <t>0456</t>
  </si>
  <si>
    <t>8120</t>
  </si>
  <si>
    <t>4060</t>
  </si>
  <si>
    <t>0824</t>
  </si>
  <si>
    <t>0828</t>
  </si>
  <si>
    <t>0829</t>
  </si>
  <si>
    <t>5011</t>
  </si>
  <si>
    <t>0810</t>
  </si>
  <si>
    <t>5012</t>
  </si>
  <si>
    <t>0380</t>
  </si>
  <si>
    <t>0320</t>
  </si>
  <si>
    <t xml:space="preserve"> - міська соціальна програма підтримки учасників АТО та членів їх сімей на 2016-2020 року</t>
  </si>
  <si>
    <t>7310</t>
  </si>
  <si>
    <t>5061</t>
  </si>
  <si>
    <t xml:space="preserve"> - міська програма  "Фонд міської ради на виконання депутатських повноважень" на 2017 рік </t>
  </si>
  <si>
    <t>5031</t>
  </si>
  <si>
    <t>3033</t>
  </si>
  <si>
    <t>0421</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</si>
  <si>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</si>
  <si>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 xml:space="preserve"> - міська програма реформування і розвитку житлово - комунального господарства міста Южноукраїнська на 2016 - 2020 роки</t>
  </si>
  <si>
    <t xml:space="preserve"> - міська програма поводження з твердими побутовими відходами на території міста Южноукраїнська на 2013 - 2020 роки </t>
  </si>
  <si>
    <t xml:space="preserve"> - міська  програма охорони тваринного світу та регулювання чисельності бродячих тварин в місті  Южноукраїнську на 2017-2021 роки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</si>
  <si>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</si>
  <si>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Питна вода  міста  Южноукраїнська на 2007-2020 роки</t>
  </si>
  <si>
    <t xml:space="preserve"> - міська програма реформування і розвитку житлово-комунального господарства міста Южноукраїнська на 2016-2020 роки </t>
  </si>
  <si>
    <t xml:space="preserve"> - міська програма капітального будівництва об"єктів житлово-комунального господарства  і соціальної інфраструктури м.Южноукраїнську на 2016-2020 роки)</t>
  </si>
  <si>
    <t>- міська програма Капітального будівництва об'єктів житлово-комунального господарства та соціальної інфраструктури м. Южноукраїнська на 2016-2020 роки</t>
  </si>
  <si>
    <t>3031</t>
  </si>
  <si>
    <t>2010</t>
  </si>
  <si>
    <t>0731</t>
  </si>
  <si>
    <t>0640</t>
  </si>
  <si>
    <t xml:space="preserve"> - утримання комунального закладу "Територіальний центр соціального обслуговування (надання соціальних послуг) м.Южноукраїнськ</t>
  </si>
  <si>
    <t>0150</t>
  </si>
  <si>
    <t>1010160</t>
  </si>
  <si>
    <t>0600000</t>
  </si>
  <si>
    <t>0610000</t>
  </si>
  <si>
    <t>0610160</t>
  </si>
  <si>
    <t>0800000</t>
  </si>
  <si>
    <t>0810000</t>
  </si>
  <si>
    <t>0810160</t>
  </si>
  <si>
    <t>Керівництво і управління у відповідній сфері у містах (місті Києві), селищах, селах, об’єднаних територіальних громадах , в тому числі:</t>
  </si>
  <si>
    <t>Керівництво і управління у відповідній сфері у містах (місті Києві), селищах, селах, об’єднаних територіальних громадах, в тому числі:</t>
  </si>
  <si>
    <t>0900000</t>
  </si>
  <si>
    <t>0910160</t>
  </si>
  <si>
    <t>Керівництво і управління у відповідній сфері у містах (місті Києві), селищах, селах, об’єднаних територіальних громадах</t>
  </si>
  <si>
    <t>2810160</t>
  </si>
  <si>
    <t>2900000</t>
  </si>
  <si>
    <t>2910000</t>
  </si>
  <si>
    <t>2910160</t>
  </si>
  <si>
    <t>3700000</t>
  </si>
  <si>
    <t>3710000</t>
  </si>
  <si>
    <t>0443</t>
  </si>
  <si>
    <t>7610</t>
  </si>
  <si>
    <t>9800</t>
  </si>
  <si>
    <t>Субвенція з місцевого бюджету державному бюджету</t>
  </si>
  <si>
    <t>8220</t>
  </si>
  <si>
    <t>Заходи та роботи з мобілізаційної підготовки місцевого значення</t>
  </si>
  <si>
    <t>0611010</t>
  </si>
  <si>
    <t xml:space="preserve">Надання дошкільної освiти                                                                         </t>
  </si>
  <si>
    <t>0611020</t>
  </si>
  <si>
    <t>0611090</t>
  </si>
  <si>
    <t>Методичне забезпечення діяльності навчальних закладів</t>
  </si>
  <si>
    <t>1150</t>
  </si>
  <si>
    <t>0611150</t>
  </si>
  <si>
    <t>Організація та проведення громадських робіт</t>
  </si>
  <si>
    <t>0812010</t>
  </si>
  <si>
    <t>2141</t>
  </si>
  <si>
    <t>2142</t>
  </si>
  <si>
    <t>2143</t>
  </si>
  <si>
    <t>Централізовані заходи з лікування хворих на цукровий та нецукровий діабет- всього, в тому числі:</t>
  </si>
  <si>
    <t>2144</t>
  </si>
  <si>
    <t>2145</t>
  </si>
  <si>
    <t>Надання інших пільг окремим категоріям громадян відповідно до законодавства</t>
  </si>
  <si>
    <t>Надання пільг окремим категоріям громадян з оплати послуг зв'язку</t>
  </si>
  <si>
    <t>0813031</t>
  </si>
  <si>
    <t>0813032</t>
  </si>
  <si>
    <t>3032</t>
  </si>
  <si>
    <t>Компенсаційні виплати на пільговий проїзд автомобільним транспортом окремим категоріям громадян</t>
  </si>
  <si>
    <t>0813033</t>
  </si>
  <si>
    <t>Компенсаційні виплати за пільговий проїзд окремих категорій громадян на залізничному транспорті</t>
  </si>
  <si>
    <t>0813035</t>
  </si>
  <si>
    <t>0813050</t>
  </si>
  <si>
    <t>0813090</t>
  </si>
  <si>
    <t>0813104</t>
  </si>
  <si>
    <t>Утримання та забезпечення діяльності центрів соціальних служб для сім’ї, дітей та молоді</t>
  </si>
  <si>
    <t>3121</t>
  </si>
  <si>
    <t xml:space="preserve"> - утримання  Центру соціальних служб для сім’ї, дітей та молоді</t>
  </si>
  <si>
    <t xml:space="preserve"> - міська комплексна програма  "Молоде покоління  м.Южноукраїнська" на 2016-2020 роки</t>
  </si>
  <si>
    <t>0813180</t>
  </si>
  <si>
    <t>0813160</t>
  </si>
  <si>
    <t>3160</t>
  </si>
  <si>
    <t>Інші видатки на соціальний захист ветеранів війни та праці</t>
  </si>
  <si>
    <t xml:space="preserve">Організація та проведення громадських робіт </t>
  </si>
  <si>
    <t>Інші субвенції з місцевого бюджету</t>
  </si>
  <si>
    <t>0819770</t>
  </si>
  <si>
    <t>9770</t>
  </si>
  <si>
    <t>0812141</t>
  </si>
  <si>
    <t>0812142</t>
  </si>
  <si>
    <t>0812143</t>
  </si>
  <si>
    <t>0812144</t>
  </si>
  <si>
    <t>0913112</t>
  </si>
  <si>
    <t xml:space="preserve">Заходи державної політики з питань дітей та їх соціального захисту </t>
  </si>
  <si>
    <t>Інші заходи та заклади молодіжної політики</t>
  </si>
  <si>
    <t xml:space="preserve"> - міська комплексна програма "Молоде покоління міста Южноукраїнська" на 2016-2020 роки </t>
  </si>
  <si>
    <t>3133</t>
  </si>
  <si>
    <t>1013133</t>
  </si>
  <si>
    <t>1014060</t>
  </si>
  <si>
    <t xml:space="preserve">Культура і мистецтво </t>
  </si>
  <si>
    <t>Забезпечення діяльності бібліотек</t>
  </si>
  <si>
    <t>1014030</t>
  </si>
  <si>
    <t>4030</t>
  </si>
  <si>
    <t>Забезпечення діяльності музеїв i виставок</t>
  </si>
  <si>
    <t>1014040</t>
  </si>
  <si>
    <t>4040</t>
  </si>
  <si>
    <t>1011100</t>
  </si>
  <si>
    <t>Надання спеціальної освіти школами естетичного виховання (музичними, художніми, хореографічними, театральними, хоровими, мистецькими)</t>
  </si>
  <si>
    <t>Проведення навчально-тренувальних зборів і змагань з олімпійських видів спорту</t>
  </si>
  <si>
    <t>1015011</t>
  </si>
  <si>
    <t>Проведення навчально-тренувальних зборів і змагань з неолімпійських видів спорту</t>
  </si>
  <si>
    <t>1015012</t>
  </si>
  <si>
    <t>Утримання та навчально-тренувальна робота комунальних дитячо-юнацьких спортивних шкіл</t>
  </si>
  <si>
    <t>1015031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</si>
  <si>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</si>
  <si>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1015061</t>
  </si>
  <si>
    <t>Освіта</t>
  </si>
  <si>
    <t>Охорона здоров'я</t>
  </si>
  <si>
    <t>3000</t>
  </si>
  <si>
    <t>Соціальний захист та соціальне забезпечення</t>
  </si>
  <si>
    <t>0910000</t>
  </si>
  <si>
    <t>6011</t>
  </si>
  <si>
    <t>6012</t>
  </si>
  <si>
    <t xml:space="preserve">Забезпечення діяльності з виробництва, транспортування, постачання теплової енергії </t>
  </si>
  <si>
    <t>6013</t>
  </si>
  <si>
    <t>Забезпечення діяльності водопровідно-каналізаційного господарства</t>
  </si>
  <si>
    <t>Організація благоустрою населених пунктів</t>
  </si>
  <si>
    <t>Експлуатація та технічне обслуговування житлового фонду</t>
  </si>
  <si>
    <t>6014</t>
  </si>
  <si>
    <t>Забезпечення збору та вивезення сміття і відходів</t>
  </si>
  <si>
    <t>6015</t>
  </si>
  <si>
    <t>6016</t>
  </si>
  <si>
    <t>6017</t>
  </si>
  <si>
    <t>Впровадження засобів обліку витрат та регулювання споживання води та теплової енергії</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</si>
  <si>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</si>
  <si>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Інша діяльність, пов'язана з експлуатацією об'єктів житлово-комунального господарства</t>
  </si>
  <si>
    <t>7321</t>
  </si>
  <si>
    <t>Будівництво освітніх установ та закладів</t>
  </si>
  <si>
    <t xml:space="preserve">Будівництво об'єктів житлово-комунального господарства </t>
  </si>
  <si>
    <t>Реалізація інших заходів щодо соціально-економічного розвитку територій</t>
  </si>
  <si>
    <t>8110</t>
  </si>
  <si>
    <t>6000</t>
  </si>
  <si>
    <t>Житлово-комунальне господарство</t>
  </si>
  <si>
    <t>0913000</t>
  </si>
  <si>
    <t>1100</t>
  </si>
  <si>
    <t>2816000</t>
  </si>
  <si>
    <t xml:space="preserve"> - міська програма охорони довкілля та раціонального природокористування міста Южноукраїнська на 2016-2020 роки</t>
  </si>
  <si>
    <t>2816030</t>
  </si>
  <si>
    <t>2817130</t>
  </si>
  <si>
    <t>7130</t>
  </si>
  <si>
    <t>Здійснення  заходів із землеустрою</t>
  </si>
  <si>
    <t xml:space="preserve"> - міська програма "Розвиток земельних відносин на 2017-2021 роки" </t>
  </si>
  <si>
    <t>2918110</t>
  </si>
  <si>
    <t>2918120</t>
  </si>
  <si>
    <t>Заходи з організації рятування на водах                                               (утримання рятувального поста)</t>
  </si>
  <si>
    <t>2919800</t>
  </si>
  <si>
    <t>2918230</t>
  </si>
  <si>
    <t>8230</t>
  </si>
  <si>
    <t>Інші заходи громадського порядку та безпеки</t>
  </si>
  <si>
    <t>3718700</t>
  </si>
  <si>
    <t>3719110</t>
  </si>
  <si>
    <t>9110</t>
  </si>
  <si>
    <t>0812145</t>
  </si>
  <si>
    <t>0611161</t>
  </si>
  <si>
    <t>1161</t>
  </si>
  <si>
    <t>0611162</t>
  </si>
  <si>
    <t>1162</t>
  </si>
  <si>
    <t>Інші програми та заходи у сфері освіти</t>
  </si>
  <si>
    <t>0812111</t>
  </si>
  <si>
    <t>2111</t>
  </si>
  <si>
    <t>0726</t>
  </si>
  <si>
    <t xml:space="preserve"> Первинна медична допомога населенню, що надається центрами первинної медичної (медико-санітарної) допомоги, в тому числі:</t>
  </si>
  <si>
    <t>0812152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</si>
  <si>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</si>
  <si>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</si>
  <si>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0813172</t>
  </si>
  <si>
    <t>3172</t>
  </si>
  <si>
    <t>0813171</t>
  </si>
  <si>
    <t>3171</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</si>
  <si>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</si>
  <si>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3191</t>
  </si>
  <si>
    <t>0813191</t>
  </si>
  <si>
    <t>3242</t>
  </si>
  <si>
    <t>3210</t>
  </si>
  <si>
    <t>0813210</t>
  </si>
  <si>
    <t>0613210</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</si>
  <si>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</si>
  <si>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</si>
  <si>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0813192</t>
  </si>
  <si>
    <t>Надання фінансової підтримки громадським організаціям ветеранів і осіб з інвалідністю, діяльність яких має соціальну спрямованість</t>
  </si>
  <si>
    <t>7370</t>
  </si>
  <si>
    <t>Утримання та розвиток автомобільних доріг та дорожньої інфраструктури за рахунок коштів місцевого бюджету</t>
  </si>
  <si>
    <t>7461</t>
  </si>
  <si>
    <t>7693</t>
  </si>
  <si>
    <t>Інші заходи, пов'язані з економічною діяльністю</t>
  </si>
  <si>
    <t>6090</t>
  </si>
  <si>
    <t>Інша діяльність у сфері житлово-комунального господарства</t>
  </si>
  <si>
    <t xml:space="preserve"> - утримання міжкільного навчально-виробничого комбінату</t>
  </si>
  <si>
    <t>3710160</t>
  </si>
  <si>
    <t>1014081</t>
  </si>
  <si>
    <t>4081</t>
  </si>
  <si>
    <t xml:space="preserve">Забезпечення діяльності інших закладів в галузі культури і мистецтва </t>
  </si>
  <si>
    <t>Інші заходи в галузі культури і мистецтва</t>
  </si>
  <si>
    <t>1014082</t>
  </si>
  <si>
    <t>4082</t>
  </si>
  <si>
    <t>1217693</t>
  </si>
  <si>
    <t>1210160</t>
  </si>
  <si>
    <t>1210000</t>
  </si>
  <si>
    <t>1200000</t>
  </si>
  <si>
    <t xml:space="preserve">Начальник фінансового управління Южноукраїнської міської ради </t>
  </si>
  <si>
    <t>3192</t>
  </si>
  <si>
    <t>0813242</t>
  </si>
  <si>
    <t>Інші заходи у сфері соціального захисту і соціального забезпечення</t>
  </si>
  <si>
    <t>0813121</t>
  </si>
  <si>
    <t>2152</t>
  </si>
  <si>
    <t>0200000</t>
  </si>
  <si>
    <t>0210000</t>
  </si>
  <si>
    <t>0210150</t>
  </si>
  <si>
    <t xml:space="preserve"> - надання допомоги дітям-сиротам та дітям, позбавленим батьківського піклування, яким виповнюється 18 років</t>
  </si>
  <si>
    <t>2818340</t>
  </si>
  <si>
    <t>8340</t>
  </si>
  <si>
    <t>0540</t>
  </si>
  <si>
    <t>Встановлення телефонів особам з інвалідністю I і II груп (субвенція з обласного бюджету)</t>
  </si>
  <si>
    <t>Багатопрофільна стаціонарна медична допомога населенню, в тому числі:</t>
  </si>
  <si>
    <t>0218220</t>
  </si>
  <si>
    <t xml:space="preserve"> -  кошти міського бюджету</t>
  </si>
  <si>
    <t xml:space="preserve"> - міська комплексна програма "Турбота" на 2018 - 2022 роки</t>
  </si>
  <si>
    <t xml:space="preserve"> - міська комплексна програма "Турбота" на 2018 - 2022 роки </t>
  </si>
  <si>
    <t>1216030</t>
  </si>
  <si>
    <t>1217310</t>
  </si>
  <si>
    <t>0210180</t>
  </si>
  <si>
    <t>Інша діяльність у сфері державного управління</t>
  </si>
  <si>
    <t>0217680</t>
  </si>
  <si>
    <t>7680</t>
  </si>
  <si>
    <t>Членські внески до асоціацій органів місцевого самоврядування</t>
  </si>
  <si>
    <t xml:space="preserve"> - міська програма "Наше місто"на 2015-2019 роки</t>
  </si>
  <si>
    <t xml:space="preserve"> -  міська програма  "Фонд міської ради на виконання депутатських повноважень" на 2018-2020 роки </t>
  </si>
  <si>
    <t>1216040</t>
  </si>
  <si>
    <t>6040</t>
  </si>
  <si>
    <t>Заходи, пов’язані з поліпшенням питної води</t>
  </si>
  <si>
    <t xml:space="preserve"> - міська програма Питна вода  міста  Южноукраїнська на 2007-2020 роки </t>
  </si>
  <si>
    <t>1216090</t>
  </si>
  <si>
    <t>Природоохоронні заходи за рахунок цільових фондів</t>
  </si>
  <si>
    <t>2817370</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</si>
  <si>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t>
  </si>
  <si>
    <t>3717370</t>
  </si>
  <si>
    <t xml:space="preserve"> - міська програма  "Фонд міської ради на виконання депутатських повноважень" на 2018-2020 роки</t>
  </si>
  <si>
    <t>1216011</t>
  </si>
  <si>
    <t>1216012</t>
  </si>
  <si>
    <t>1216013</t>
  </si>
  <si>
    <t>1216014</t>
  </si>
  <si>
    <t>1216015</t>
  </si>
  <si>
    <t>1216016</t>
  </si>
  <si>
    <t>1216017</t>
  </si>
  <si>
    <t>1217321</t>
  </si>
  <si>
    <t>1217370</t>
  </si>
  <si>
    <t>1217461</t>
  </si>
  <si>
    <t xml:space="preserve"> - субвенція на фінансування заходів соціально-економічної компенсації ризику населення, яке проживає на території  зони спостереження</t>
  </si>
  <si>
    <t>1217330</t>
  </si>
  <si>
    <t>7330</t>
  </si>
  <si>
    <t>1217361</t>
  </si>
  <si>
    <t>7361</t>
  </si>
  <si>
    <t>Співфінансування інвестиційних проектів, що реалізуються за рахунок коштів державного фонду регіонального розвитку</t>
  </si>
  <si>
    <t>2917370</t>
  </si>
  <si>
    <t>1217364</t>
  </si>
  <si>
    <t>7364</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</si>
  <si>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</si>
  <si>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 xml:space="preserve"> - міська програма приватизації майна комунальної власності територіальної громади міста Южноукраїнська на 2018-2020 роки</t>
  </si>
  <si>
    <t xml:space="preserve"> - міська програма зайнятості  населення міста Южноукраїнська в частині оплачуваних громадських робіт</t>
  </si>
  <si>
    <t>Програми і централізовані заходи з імунопрофілактики (Міська програма «Охорона здоров`я в місті Южноукраїнську» на  2017-2022 роки)</t>
  </si>
  <si>
    <t>Програми і централізовані заходи профілактики ВІЛ-інфекції/СНІДу (Міська програма «Охорона здоров`я в місті Южноукраїнську» на  2017-2022 роки)</t>
  </si>
  <si>
    <t>Централізовані заходи з лікування онкологічних хворих (Міська програма «Охорона здоров`я в місті Южноукраїнську» на  2017-2022 роки)</t>
  </si>
  <si>
    <t xml:space="preserve"> - міська програма «Охорона здоров`я в місті Южноукраїнську» на  2017-2022 роки в частині розвитку донорства крові  та її компонентів </t>
  </si>
  <si>
    <t xml:space="preserve"> - міська програма «Охорона здоров`я в місті Южноукраїнську» на  2017-2022 роки в частині запобігання та лікування  серцево-судинних та судинно-мозкових захворювань </t>
  </si>
  <si>
    <t xml:space="preserve"> - міська програма «Охорона здоров`я в місті Южноукраїнську» на  2017-2022 роки в частині репродуктивного здоров'я населення міста </t>
  </si>
  <si>
    <t xml:space="preserve"> - міська програма «Охорона здоров`я в місті Южноукраїнську» на  2017-2022 рок в частині реформування медичного обслуговування населення міста </t>
  </si>
  <si>
    <t>8700</t>
  </si>
  <si>
    <t>Заходи із запобігання та ліквідації надзвичайних ситуацій та наслідків стихійного лиха</t>
  </si>
  <si>
    <t xml:space="preserve"> - міська програма  "Фонд міської ради на виконання депутатських повноважень" на 2018-2020 роки </t>
  </si>
  <si>
    <t xml:space="preserve"> -  міська програма  "Фонд міської ради на виконання депутатських повноважень" на 2018-2020 роки</t>
  </si>
  <si>
    <t xml:space="preserve"> - утримання централізованої бухгалтерії </t>
  </si>
  <si>
    <t xml:space="preserve"> - утримання групи господарського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</si>
  <si>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в тому числі:</t>
  </si>
  <si>
    <t>Забезпечення діяльності палаців i будинків культури, клубів, центрів дозвілля та iнших клубних закладів, в тому числі:</t>
  </si>
  <si>
    <t xml:space="preserve"> - міська програма розвитку  дорожнього руху та його безпеки в місті Южноукраїнську  на 2018-2022 роки</t>
  </si>
  <si>
    <t xml:space="preserve"> - кошти міського бюджету на співфінансування з обласним бюджетом на придбання персонального комп’ютера/ноутбука та техніки для друкування, копіювання, сканування та ламінування з витратними матеріалами для початкової школи </t>
  </si>
  <si>
    <t xml:space="preserve"> - міська програма  "Фонд міської ради на виконання депутатських повноважень" на 2018-2020 рік </t>
  </si>
  <si>
    <t>1217322</t>
  </si>
  <si>
    <t>7322</t>
  </si>
  <si>
    <t>Будівництво медичних установ та закладів</t>
  </si>
  <si>
    <t xml:space="preserve"> - міська програма щодо організації мобілізаційної роботи та територіальної оборони в м.Южноукраїнську на 2018-2021роки</t>
  </si>
  <si>
    <t xml:space="preserve"> - міська програма розвитку малого та середнього підприємництва на 2017-2018 роки</t>
  </si>
  <si>
    <t xml:space="preserve">Субвенція з місцевого бюджету державному бюджету на виконання програм соціально-економічного розвитку регіонів </t>
  </si>
  <si>
    <t>кошти міського бюджету на співфінансування з державним бюджетом на капітальний ремонт ТРП-1 по вул.Дружби народів. 22-А (міська програма Капітального будівництва об'єктів житлово-комунального господарства та соціальної інфраструктури м. Южноукраїнська на 2016-2020 роки)</t>
  </si>
  <si>
    <t>1217691</t>
  </si>
  <si>
    <t>0219800</t>
  </si>
  <si>
    <t>0217610</t>
  </si>
  <si>
    <t xml:space="preserve"> - міська програма «Охорона здоров`я в місті Южноукраїнську» на 2017-2022 роки в частині надання паліативної та хоспісної допомоги</t>
  </si>
  <si>
    <t>Загальний фонд</t>
  </si>
  <si>
    <t>Спеціальний фонд</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</si>
  <si>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</si>
  <si>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 xml:space="preserve">Виконавчий комітет Южноукраїнської міської ради </t>
  </si>
  <si>
    <t xml:space="preserve"> - міська програма розвитку малого та середнього підприємництва в м.Южноукраїнську на 2017-2018 роки </t>
  </si>
  <si>
    <t>Управління освіти Южноукраїнської міської ради</t>
  </si>
  <si>
    <t xml:space="preserve">Управління освіти Южноукраїнської міської ради </t>
  </si>
  <si>
    <t>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                                                                         в тому числі :</t>
  </si>
  <si>
    <t xml:space="preserve"> Забезпечення діяльності інших закладів у сфері освіти,                                     в тому числі: </t>
  </si>
  <si>
    <t xml:space="preserve"> - міська програма зайнятості  населення міста Южноукраїнська  в частині оплачуваних громадських робіт</t>
  </si>
  <si>
    <t xml:space="preserve">Департамент соціальних питань та охорони здоров'я Южноукраїнської міської ради </t>
  </si>
  <si>
    <t xml:space="preserve">Управління молоді, спорту та культури Южноукраїнської міської ради </t>
  </si>
  <si>
    <t xml:space="preserve">Служба у справах дітей Южноукраїнської міської ради </t>
  </si>
  <si>
    <t xml:space="preserve">Департамент інфраструктури міського господарства Южноукраїнської міської ради </t>
  </si>
  <si>
    <t xml:space="preserve">Управління екології, охорони навколишнього середовища та земельних відносин Южноукраїнської міської ради </t>
  </si>
  <si>
    <t xml:space="preserve">Управління з питань надзвичайних ситуацій та взаємодії з правоохоронними органами Южноукраїнської міської ради </t>
  </si>
  <si>
    <t xml:space="preserve">Фінансове  управління Южноукраїнської міської ради </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</si>
  <si>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</si>
  <si>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1017622</t>
  </si>
  <si>
    <t>7622</t>
  </si>
  <si>
    <t>0470</t>
  </si>
  <si>
    <t>Реалізація програм і заходів туризму та курортів</t>
  </si>
  <si>
    <t>0913111</t>
  </si>
  <si>
    <t>3111</t>
  </si>
  <si>
    <t xml:space="preserve"> - субвенція з місцевого бюджету за рахунок залишку коштів освітньої субвенції, що утворився на початок бюджетного періоду</t>
  </si>
  <si>
    <t>до рішення Южноукраїнської міської ради</t>
  </si>
  <si>
    <t xml:space="preserve"> -міська програма «Охорона здоров`я в місті Южноукраїнську» на  2017-2022 роки</t>
  </si>
  <si>
    <t>1170</t>
  </si>
  <si>
    <t>0611170</t>
  </si>
  <si>
    <t xml:space="preserve"> - міська програма інформаційної підтримки розвитку міста та діяльності органів місцевого самоврядування на 2019-2022 роки</t>
  </si>
  <si>
    <t xml:space="preserve"> - міська програма підтримки об'єднань співвласників багатоквартирних будинків на 2019-2023 роки </t>
  </si>
  <si>
    <t xml:space="preserve"> - міська програма підтримки об'єднань співвласників багатоквартирних будинків на  2019-2023 роки </t>
  </si>
  <si>
    <t xml:space="preserve"> - міська програма підтримки співвласників багатоквартирних будинків на  2019-2023 роки </t>
  </si>
  <si>
    <t xml:space="preserve"> - кошти міського бюджету </t>
  </si>
  <si>
    <t xml:space="preserve"> - міська програма розвитку освіти в м.Южноукраїнську на 2016-2020 роки</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</si>
  <si>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  </t>
  </si>
  <si>
    <t xml:space="preserve"> - міська комплексна програма захисту прав дітей м. Южноукраїнська «Дитинство» на 2018 -2020 роки</t>
  </si>
  <si>
    <t xml:space="preserve"> -міська програма розвитку культури, фізичної культури, спорту та туризму в м.Южноукраїнську на 2019-2024 роки</t>
  </si>
  <si>
    <t xml:space="preserve"> - міська програма розвитку культури, фізичної культури, спорту та туризму в м.Южноукраїнську на 2019-2024 роки</t>
  </si>
  <si>
    <t xml:space="preserve"> - програма розвитку культури, фізичної культури, спорту та туризму в м.Южноукраїнську на 2019-2024 роки</t>
  </si>
  <si>
    <t xml:space="preserve"> - міська комплексна програма "Турбота" на 2018 - 2022 роки - громадська організація "Южноукраїнська міська організація всеукраїнської організації інвалідів "Союз організацій інвалідів України"", громадська організація "Южноукраїнська міська організація ветеранів війни, праці та збройних сил організацій ветеранів України", громадська організація "Южноукраїнська міська організація всеукраїнської громадської організації "Союз Чорнобиль Україна"", громадська організація "Южноукраїнська спілка ветеранів Афганістану воїнів інтернаціоналістів"</t>
  </si>
  <si>
    <t xml:space="preserve"> - міська соціальна програма підтримки учаснииків АТО та членів їх сімей -"Южноукраїнська міська організація воїнів та учасників АТО" </t>
  </si>
  <si>
    <t xml:space="preserve"> - міська соціальна програма Підтримки учасників АТО та членів їх сімей на 2016-2020 року</t>
  </si>
  <si>
    <t>0610</t>
  </si>
  <si>
    <t>Забезпечення надійної та безперебійної експлуатації ліфтів</t>
  </si>
  <si>
    <t>Будівництво інших об'єктів комунальної власності</t>
  </si>
  <si>
    <t>грн.</t>
  </si>
  <si>
    <t>Відсоток виконання</t>
  </si>
  <si>
    <t>Додаток №2</t>
  </si>
  <si>
    <t>15</t>
  </si>
  <si>
    <t>Відсоток   виконання</t>
  </si>
  <si>
    <t>- міська соціальна програма Підтримки учасників АТО та членів їх сімей на 2016-2020 року</t>
  </si>
  <si>
    <t>- міська програма захисту прав дітей м.Южноукраїнська "Дитинство" на 2018-2020 роки</t>
  </si>
  <si>
    <t xml:space="preserve"> - утримання та навчально-тренувальна робота комунальних дитячо-юнацьких спортивних шкіл</t>
  </si>
  <si>
    <t xml:space="preserve">Утримання закладів, що надають соціальні послуги дітям, які опинились у складних життєвих обставинах </t>
  </si>
  <si>
    <t xml:space="preserve"> - міська соціальна програма Підтримки учасників АТО та членів їх сімей на 2016-2020 року (субвенція з міського бюджету на 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2020 року Миколаївської обласної ради )</t>
  </si>
  <si>
    <t>1217462</t>
  </si>
  <si>
    <t>7462</t>
  </si>
  <si>
    <t>з них:</t>
  </si>
  <si>
    <r>
      <t xml:space="preserve"> субвенції з місцевого бюджету на надання державної підтримки особам з особливими освітніми потребами за рахунок відповідної </t>
    </r>
    <r>
      <rPr>
        <b/>
        <i/>
        <sz val="12"/>
        <color indexed="8"/>
        <rFont val="Times New Roman"/>
        <family val="1"/>
      </rPr>
      <t>субвенції з державного бюджету</t>
    </r>
  </si>
  <si>
    <t xml:space="preserve"> - освітня субвенція з державного бюджету</t>
  </si>
  <si>
    <t xml:space="preserve"> -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</si>
  <si>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 - 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</si>
  <si>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 - субвенція з обласного бюджету на здійснення переданих видатків у сфері освіти за рахунок коштів освітньої субвенції </t>
  </si>
  <si>
    <r>
      <t>Департамент соціальних питань та охорони здоров'я Южноукраїнської міської ради</t>
    </r>
    <r>
      <rPr>
        <i/>
        <sz val="12"/>
        <color indexed="8"/>
        <rFont val="Times New Roman"/>
        <family val="1"/>
      </rPr>
      <t xml:space="preserve"> </t>
    </r>
  </si>
  <si>
    <t xml:space="preserve"> - медична субвенція з державного бюджету</t>
  </si>
  <si>
    <t>Програми і централізовані заходи боротьби з туберкульозом (Міська програма «Охорона здоров`я в місті Южноукраїнську» на  2017-2022 роки)</t>
  </si>
  <si>
    <t xml:space="preserve"> - субвенція з обласного бюджету на  здійснення переданих видатків у сфері охорони здоров’я за рахунок коштів медичної субвенції з державного бюджету   (за рахунок цільових видатків на  лікування хворих на цукровий та нецукровий діабет)</t>
  </si>
  <si>
    <t xml:space="preserve">Пільгове медичне обслуговування осіб, які постраждали внаслідок Чорнобильської катастрофи  (субвенція з обласного бюджету) </t>
  </si>
  <si>
    <t xml:space="preserve">Видатки на поховання учасників бойових дій та осіб з інвалідністю внаслідок війни(субвенція з обласного бюджету) </t>
  </si>
  <si>
    <t>Компенсаційні виплати особам з інвалідністю на бензин, ремонт, технічне обслуговування автомобілів, мотоколясок і на транспортне обслуговування (субвенція з обласного бюджету)</t>
  </si>
  <si>
    <t xml:space="preserve"> - субвенція з обласного бюджету</t>
  </si>
  <si>
    <t xml:space="preserve"> -  за рахунок субвенції з обласного бюджету</t>
  </si>
  <si>
    <r>
      <t xml:space="preserve"> - утримання комунального закладу "Центр соціально-психологічної реабілітації дітей"</t>
    </r>
    <r>
      <rPr>
        <b/>
        <i/>
        <sz val="12"/>
        <color indexed="8"/>
        <rFont val="Times New Roman"/>
        <family val="1"/>
      </rPr>
      <t>(субвенція з обласного бюджету)</t>
    </r>
  </si>
  <si>
    <r>
      <t>Управління молоді, спорту та культури Южноукраїнської міської ради</t>
    </r>
    <r>
      <rPr>
        <i/>
        <sz val="12"/>
        <color indexed="8"/>
        <rFont val="Times New Roman"/>
        <family val="1"/>
      </rPr>
      <t xml:space="preserve"> </t>
    </r>
  </si>
  <si>
    <r>
      <t xml:space="preserve"> -</t>
    </r>
    <r>
      <rPr>
        <b/>
        <i/>
        <sz val="12"/>
        <color indexed="8"/>
        <rFont val="Times New Roman"/>
        <family val="1"/>
      </rPr>
      <t xml:space="preserve"> субвенція с державного бюджету </t>
    </r>
    <r>
      <rPr>
        <i/>
        <sz val="12"/>
        <color indexed="8"/>
        <rFont val="Times New Roman"/>
        <family val="1"/>
      </rPr>
      <t>на фінансування заходів соціально-економічної компенсації ризику населення, яке проживає на території  зони спостереження</t>
    </r>
  </si>
  <si>
    <r>
      <rPr>
        <b/>
        <i/>
        <sz val="12"/>
        <color indexed="8"/>
        <rFont val="Times New Roman"/>
        <family val="1"/>
      </rPr>
      <t>субвенція з обласного бюджету</t>
    </r>
    <r>
      <rPr>
        <i/>
        <sz val="12"/>
        <color indexed="8"/>
        <rFont val="Times New Roman"/>
        <family val="1"/>
      </rPr>
      <t xml:space="preserve"> на розвиток спортивної інфраструктури (реконструкція спортивного майданчика під міні-футбольне поле зі штучним покриттям Южноукраїнської загальноосвітньої школи І-ІІІ ступенів №1 ім.Захисників Вітчизни по бул.Курчатова ,8 в м. Южноукраїнську Миколаївської області)</t>
    </r>
  </si>
  <si>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</si>
  <si>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місцевим бюджетам на утримання та розвиток автомобільних доріг</t>
  </si>
  <si>
    <r>
      <t xml:space="preserve">Управління з питань надзвичайних ситуацій та взаємодії з правоохоронними органами Южноукраїнської міської ради </t>
    </r>
    <r>
      <rPr>
        <i/>
        <sz val="12"/>
        <color indexed="8"/>
        <rFont val="Times New Roman"/>
        <family val="1"/>
      </rPr>
      <t xml:space="preserve"> </t>
    </r>
  </si>
  <si>
    <r>
      <rPr>
        <b/>
        <i/>
        <sz val="12"/>
        <color indexed="8"/>
        <rFont val="Times New Roman"/>
        <family val="1"/>
      </rPr>
      <t>Фінансове управління Южноукраїнської міської ради</t>
    </r>
    <r>
      <rPr>
        <i/>
        <sz val="12"/>
        <color indexed="8"/>
        <rFont val="Times New Roman"/>
        <family val="1"/>
      </rPr>
      <t xml:space="preserve"> </t>
    </r>
  </si>
  <si>
    <t>Код функціональної класифікації видатків та кредитування бюджету</t>
  </si>
  <si>
    <t>Код типової програмної класифікації видатків та кредитування місцевих бюджетів</t>
  </si>
  <si>
    <t>Код програмної класифікації видатків та кредитування місцевих бюджетів</t>
  </si>
  <si>
    <t xml:space="preserve"> -  міська програма поводження з твердими побутовими відходами на території міста Южноукраїнська на 2013 - 2020 роки </t>
  </si>
  <si>
    <t>1218110</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</si>
  <si>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t>
  </si>
  <si>
    <t xml:space="preserve">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t>
  </si>
  <si>
    <t xml:space="preserve">- 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t>
  </si>
  <si>
    <r>
      <t xml:space="preserve">- </t>
    </r>
    <r>
      <rPr>
        <b/>
        <i/>
        <sz val="12"/>
        <color indexed="8"/>
        <rFont val="Times New Roman"/>
        <family val="1"/>
      </rPr>
      <t>субвенції з обласного бюджету</t>
    </r>
    <r>
      <rPr>
        <i/>
        <sz val="12"/>
        <color indexed="8"/>
        <rFont val="Times New Roman"/>
        <family val="1"/>
      </rPr>
      <t xml:space="preserve"> на мікропроекти</t>
    </r>
  </si>
  <si>
    <t xml:space="preserve"> - утримання комунального закладу "Дитяча школа містецтв"</t>
  </si>
  <si>
    <t xml:space="preserve">В тому числі видатки за рахунок субвенцій,    із них                                                                                            </t>
  </si>
  <si>
    <t>Забезпечення дільності інклюзивно-ресурсних центрів</t>
  </si>
  <si>
    <t>Виконання бюджету міста Южноукраїнськ за видатками за І квартал 2020 року</t>
  </si>
  <si>
    <t xml:space="preserve"> - міська програма "Залучення інвестицій та поліпшення інвестиційного клімату міста Южноукраїнська на 2019-2021 роки"</t>
  </si>
  <si>
    <t xml:space="preserve"> - міська програма «Охорона здоров`я в місті Южноукраїнську» на  2017-2022 роки</t>
  </si>
  <si>
    <t xml:space="preserve"> - міська програма «Охорона здоров`я в місті Южноукраїнську» на  2017-2022 рок в частині надання допомоги хворим з хранично - нирковою недостатністю</t>
  </si>
  <si>
    <t xml:space="preserve">Інша діяльність </t>
  </si>
  <si>
    <t>Заходи запобігання та ліквідації надзвичайних ситуацій та наслідків стихійного лиха</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</si>
  <si>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t>
  </si>
  <si>
    <t>0818110</t>
  </si>
  <si>
    <t>0819800</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</si>
  <si>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бюджету на забезпечення Южноукраїнського міськрайоного відділу лабораторних досліджень державної установи «Миколаївський обласний лабораторний центр Міністерства охорони здоров’я України» засобами медичного призначення, захисним одягом, засобами захисту органів дихання, дезінфекційними засобами)</t>
  </si>
  <si>
    <t>Міжбюджетні трансферти</t>
  </si>
  <si>
    <t xml:space="preserve"> -  за рахунок залишку коштів медичної субвенції з державного бюджету станом на 01.01.2020</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</si>
  <si>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захисних костюмів, масок медичних, респіраторів, безконтактних термометрів, руковичок, дезінфікуючих засобів, тощо для 25-ї ДПРЧ ДСНС України Миколаївської області та ЮУ відділення поліції Первомайського відділу ГУНП в Миколаївській обл.)</t>
  </si>
  <si>
    <t>Затверджено на 2020 рік з урахуванням змін</t>
  </si>
  <si>
    <t>Затверджено на звітний період 2020 року</t>
  </si>
  <si>
    <t>Виконано                                           за відповідний період 2020 року</t>
  </si>
  <si>
    <t>- утримання комунального закладу "Центр соціально-психологічної реабілітації дітей" (інші джерела власних надходжень)</t>
  </si>
  <si>
    <t>В тому числі видатки за рахунок субвенцій</t>
  </si>
  <si>
    <t xml:space="preserve">в тому числі за рахунок субвенцій </t>
  </si>
  <si>
    <t xml:space="preserve"> - утримання виконавчого комітету</t>
  </si>
  <si>
    <t xml:space="preserve">  -  утримання позашкільної освіти </t>
  </si>
  <si>
    <t xml:space="preserve"> - утримання управління ДСПОЗ Южноукраїнської МР</t>
  </si>
  <si>
    <t xml:space="preserve"> - утримання управління ССД Южноукраїнської МР</t>
  </si>
  <si>
    <t xml:space="preserve"> - утримання управління УМСК Южноукаїнської МР</t>
  </si>
  <si>
    <t xml:space="preserve"> - забезпечення діяльності музеїв i виставок</t>
  </si>
  <si>
    <t xml:space="preserve"> - забезпечення діяльності бібліотек</t>
  </si>
  <si>
    <t xml:space="preserve"> - забезпечення діяльності палаців i будинків культури, клубів, центрів дозвілля та iнших клубних закладів</t>
  </si>
  <si>
    <t xml:space="preserve"> - забезпечення діяльності інших закладів в галузі культури і мистецтва </t>
  </si>
  <si>
    <t xml:space="preserve"> - утримання управління ДІМГ Южноукраїнської МР</t>
  </si>
  <si>
    <t xml:space="preserve"> - утримання УЕНСЗВ Южноукраїнської МР</t>
  </si>
  <si>
    <t xml:space="preserve"> - утримання УПНСВПО Южноукраїнської МР</t>
  </si>
  <si>
    <t xml:space="preserve"> - утримання фінансового управління Южноукраїнської МР</t>
  </si>
  <si>
    <t>14205100000</t>
  </si>
  <si>
    <t>(код бюджету)</t>
  </si>
  <si>
    <t>від___25.06._____2020_№__1893_______</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</si>
</sst>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
    <numFmt numFmtId="194" formatCode="0.0000"/>
    <numFmt numFmtId="195" formatCode="0.00000"/>
    <numFmt numFmtId="196" formatCode="#,##0.0"/>
    <numFmt numFmtId="197" formatCode="#,##0.000"/>
    <numFmt numFmtId="198" formatCode="#,##0.00000"/>
    <numFmt numFmtId="199" formatCode="#,##0.0000"/>
    <numFmt numFmtId="200" formatCode="#,##0.000000"/>
    <numFmt numFmtId="201" formatCode="0_)"/>
    <numFmt numFmtId="202" formatCode="#,##0.0000000"/>
    <numFmt numFmtId="203" formatCode="0.000000"/>
    <numFmt numFmtId="204" formatCode="_-* #,##0.0_р_._-;\-* #,##0.0_р_._-;_-* &quot;-&quot;??_р_._-;_-@_-"/>
    <numFmt numFmtId="205" formatCode="_-* #,##0_р_._-;\-* #,##0_р_._-;_-* &quot;-&quot;??_р_._-;_-@_-"/>
    <numFmt numFmtId="206" formatCode="#,##0.00_ ;\-#,##0.00\ "/>
  </numFmts>
  <fonts count="75">
    <font>
      <sz val="10"/>
      <name val="Arial Cyr"/>
      <family val="0"/>
    </font>
    <font>
      <u val="single"/>
      <sz val="10"/>
      <color indexed="12"/>
      <name val="Arial Cyr"/>
      <family val="0"/>
    </font>
    <font>
      <u val="single"/>
      <sz val="10"/>
      <color indexed="36"/>
      <name val="Arial Cyr"/>
      <family val="0"/>
    </font>
    <font>
      <b/>
      <sz val="15"/>
      <color indexed="62"/>
      <name val="Calibri"/>
      <family val="2"/>
    </font>
    <font>
      <b/>
      <sz val="11"/>
      <color indexed="62"/>
      <name val="Calibri"/>
      <family val="2"/>
    </font>
    <font>
      <b/>
      <sz val="18"/>
      <color indexed="62"/>
      <name val="Cambria"/>
      <family val="2"/>
    </font>
    <font>
      <i/>
      <sz val="12"/>
      <color indexed="8"/>
      <name val="Times New Roman"/>
      <family val="1"/>
    </font>
    <font>
      <b/>
      <i/>
      <sz val="12"/>
      <color indexed="8"/>
      <name val="Times New Roman"/>
      <family val="1"/>
    </font>
    <font>
      <i/>
      <sz val="12"/>
      <name val="Times New Roman"/>
      <family val="1"/>
    </font>
    <font>
      <i/>
      <sz val="11"/>
      <name val="Times New Roman"/>
      <family val="1"/>
    </font>
    <font>
      <b/>
      <sz val="12"/>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0"/>
      <color indexed="8"/>
      <name val="Times New Roman"/>
      <family val="1"/>
    </font>
    <font>
      <sz val="14"/>
      <color indexed="8"/>
      <name val="Times New Roman"/>
      <family val="1"/>
    </font>
    <font>
      <sz val="20"/>
      <color indexed="8"/>
      <name val="Times New Roman"/>
      <family val="1"/>
    </font>
    <font>
      <sz val="12"/>
      <color indexed="8"/>
      <name val="Arial Cyr"/>
      <family val="0"/>
    </font>
    <font>
      <i/>
      <sz val="12"/>
      <color indexed="8"/>
      <name val="Arial Cyr"/>
      <family val="0"/>
    </font>
    <font>
      <b/>
      <sz val="14"/>
      <color indexed="8"/>
      <name val="Times New Roman"/>
      <family val="1"/>
    </font>
    <font>
      <sz val="10"/>
      <color indexed="8"/>
      <name val="Arial Cyr"/>
      <family val="0"/>
    </font>
    <font>
      <sz val="22"/>
      <color indexed="8"/>
      <name val="Times New Roman"/>
      <family val="1"/>
    </font>
    <font>
      <sz val="24"/>
      <color indexed="8"/>
      <name val="Times New Roman"/>
      <family val="1"/>
    </font>
    <font>
      <sz val="11"/>
      <color indexed="8"/>
      <name val="Times New Roman"/>
      <family val="1"/>
    </font>
    <font>
      <sz val="22"/>
      <color indexed="8"/>
      <name val="Arial Cyr"/>
      <family val="0"/>
    </font>
    <font>
      <i/>
      <sz val="11"/>
      <color indexed="8"/>
      <name val="Times New Roman"/>
      <family val="1"/>
    </font>
    <font>
      <u val="single"/>
      <sz val="22"/>
      <color indexed="8"/>
      <name val="Times New Roman"/>
      <family val="1"/>
    </font>
    <font>
      <sz val="18"/>
      <color indexed="8"/>
      <name val="Times New Roman"/>
      <family val="1"/>
    </font>
    <font>
      <sz val="26"/>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i/>
      <sz val="12"/>
      <color theme="1"/>
      <name val="Times New Roman"/>
      <family val="1"/>
    </font>
    <font>
      <b/>
      <sz val="12"/>
      <color theme="1"/>
      <name val="Times New Roman"/>
      <family val="1"/>
    </font>
    <font>
      <b/>
      <i/>
      <sz val="12"/>
      <color theme="1"/>
      <name val="Times New Roman"/>
      <family val="1"/>
    </font>
    <font>
      <sz val="10"/>
      <color theme="1"/>
      <name val="Times New Roman"/>
      <family val="1"/>
    </font>
    <font>
      <sz val="14"/>
      <color theme="1"/>
      <name val="Times New Roman"/>
      <family val="1"/>
    </font>
    <font>
      <sz val="20"/>
      <color theme="1"/>
      <name val="Times New Roman"/>
      <family val="1"/>
    </font>
    <font>
      <sz val="12"/>
      <color theme="1"/>
      <name val="Arial Cyr"/>
      <family val="0"/>
    </font>
    <font>
      <i/>
      <sz val="12"/>
      <color theme="1"/>
      <name val="Arial Cyr"/>
      <family val="0"/>
    </font>
    <font>
      <b/>
      <sz val="14"/>
      <color theme="1"/>
      <name val="Times New Roman"/>
      <family val="1"/>
    </font>
    <font>
      <sz val="10"/>
      <color theme="1"/>
      <name val="Arial Cyr"/>
      <family val="0"/>
    </font>
    <font>
      <sz val="22"/>
      <color theme="1"/>
      <name val="Times New Roman"/>
      <family val="1"/>
    </font>
    <font>
      <sz val="24"/>
      <color theme="1"/>
      <name val="Times New Roman"/>
      <family val="1"/>
    </font>
    <font>
      <sz val="11"/>
      <color theme="1"/>
      <name val="Times New Roman"/>
      <family val="1"/>
    </font>
    <font>
      <sz val="22"/>
      <color theme="1"/>
      <name val="Arial Cyr"/>
      <family val="0"/>
    </font>
    <font>
      <i/>
      <sz val="11"/>
      <color theme="1"/>
      <name val="Times New Roman"/>
      <family val="1"/>
    </font>
    <font>
      <u val="single"/>
      <sz val="22"/>
      <color theme="1"/>
      <name val="Times New Roman"/>
      <family val="1"/>
    </font>
    <font>
      <sz val="18"/>
      <color theme="1"/>
      <name val="Times New Roman"/>
      <family val="1"/>
    </font>
    <font>
      <sz val="26"/>
      <color theme="1"/>
      <name val="Times New Roman"/>
      <family val="1"/>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2"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7" borderId="0" applyNumberFormat="0" applyBorder="0" applyAlignment="0" applyProtection="0"/>
    <xf numFmtId="0" fontId="43" fillId="10" borderId="0" applyNumberFormat="0" applyBorder="0" applyAlignment="0" applyProtection="0"/>
    <xf numFmtId="0" fontId="43" fillId="3"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3"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19" borderId="1" applyNumberFormat="0" applyAlignment="0" applyProtection="0"/>
    <xf numFmtId="0" fontId="46" fillId="2" borderId="2" applyNumberFormat="0" applyAlignment="0" applyProtection="0"/>
    <xf numFmtId="0" fontId="47" fillId="2"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3" applyNumberFormat="0" applyFill="0" applyAlignment="0" applyProtection="0"/>
    <xf numFmtId="0" fontId="17"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48" fillId="0" borderId="6" applyNumberFormat="0" applyFill="0" applyAlignment="0" applyProtection="0"/>
    <xf numFmtId="0" fontId="49" fillId="20" borderId="7" applyNumberFormat="0" applyAlignment="0" applyProtection="0"/>
    <xf numFmtId="0" fontId="5" fillId="0" borderId="0" applyNumberFormat="0" applyFill="0" applyBorder="0" applyAlignment="0" applyProtection="0"/>
    <xf numFmtId="0" fontId="50" fillId="21" borderId="0" applyNumberFormat="0" applyBorder="0" applyAlignment="0" applyProtection="0"/>
    <xf numFmtId="0" fontId="2" fillId="0" borderId="0" applyNumberFormat="0" applyFill="0" applyBorder="0" applyAlignment="0" applyProtection="0"/>
    <xf numFmtId="0" fontId="51" fillId="22"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24" borderId="0" applyNumberFormat="0" applyBorder="0" applyAlignment="0" applyProtection="0"/>
  </cellStyleXfs>
  <cellXfs count="161">
    <xf numFmtId="0" fontId="0" fillId="0" borderId="0" xfId="0" applyAlignment="1">
      <alignment/>
    </xf>
    <xf numFmtId="3" fontId="56" fillId="0" borderId="0" xfId="0" applyNumberFormat="1" applyFont="1" applyFill="1" applyBorder="1" applyAlignment="1">
      <alignment wrapText="1"/>
    </xf>
    <xf numFmtId="0" fontId="56" fillId="0" borderId="10" xfId="0" applyNumberFormat="1" applyFont="1" applyFill="1" applyBorder="1" applyAlignment="1" applyProtection="1">
      <alignment horizontal="center" vertical="center" wrapText="1"/>
      <protection/>
    </xf>
    <xf numFmtId="198" fontId="56" fillId="0" borderId="0" xfId="0" applyNumberFormat="1" applyFont="1" applyFill="1" applyBorder="1" applyAlignment="1">
      <alignment wrapText="1"/>
    </xf>
    <xf numFmtId="198" fontId="57" fillId="0" borderId="0" xfId="0" applyNumberFormat="1" applyFont="1" applyFill="1" applyBorder="1" applyAlignment="1">
      <alignment wrapText="1"/>
    </xf>
    <xf numFmtId="3" fontId="56" fillId="0" borderId="0" xfId="0" applyNumberFormat="1" applyFont="1" applyFill="1" applyBorder="1" applyAlignment="1" applyProtection="1">
      <alignment/>
      <protection locked="0"/>
    </xf>
    <xf numFmtId="3" fontId="57" fillId="0" borderId="0" xfId="0" applyNumberFormat="1" applyFont="1" applyFill="1" applyBorder="1" applyAlignment="1">
      <alignment wrapText="1"/>
    </xf>
    <xf numFmtId="3" fontId="58" fillId="0" borderId="0" xfId="0" applyNumberFormat="1" applyFont="1" applyFill="1" applyBorder="1" applyAlignment="1">
      <alignment wrapText="1"/>
    </xf>
    <xf numFmtId="3" fontId="56" fillId="0" borderId="0" xfId="0" applyNumberFormat="1" applyFont="1" applyFill="1" applyAlignment="1">
      <alignment horizontal="right" wrapText="1"/>
    </xf>
    <xf numFmtId="3" fontId="59" fillId="0" borderId="0" xfId="0" applyNumberFormat="1" applyFont="1" applyFill="1" applyBorder="1" applyAlignment="1">
      <alignment wrapText="1"/>
    </xf>
    <xf numFmtId="3" fontId="60" fillId="0" borderId="0" xfId="0" applyNumberFormat="1" applyFont="1" applyFill="1" applyAlignment="1">
      <alignment wrapText="1"/>
    </xf>
    <xf numFmtId="3" fontId="60" fillId="0" borderId="0" xfId="0" applyNumberFormat="1" applyFont="1" applyFill="1" applyAlignment="1">
      <alignment horizontal="right" wrapText="1"/>
    </xf>
    <xf numFmtId="0" fontId="61" fillId="0" borderId="0" xfId="0" applyFont="1" applyFill="1" applyAlignment="1">
      <alignment wrapText="1"/>
    </xf>
    <xf numFmtId="3" fontId="58" fillId="0" borderId="0" xfId="0" applyNumberFormat="1" applyFont="1" applyFill="1" applyBorder="1" applyAlignment="1">
      <alignment horizontal="right" wrapText="1"/>
    </xf>
    <xf numFmtId="0" fontId="62" fillId="0" borderId="0" xfId="0" applyFont="1" applyFill="1" applyAlignment="1">
      <alignment/>
    </xf>
    <xf numFmtId="49" fontId="56" fillId="0" borderId="10" xfId="0" applyNumberFormat="1" applyFont="1" applyFill="1" applyBorder="1" applyAlignment="1">
      <alignment horizontal="center" wrapText="1"/>
    </xf>
    <xf numFmtId="0" fontId="56" fillId="0" borderId="10" xfId="0" applyFont="1" applyFill="1" applyBorder="1" applyAlignment="1">
      <alignment horizontal="center"/>
    </xf>
    <xf numFmtId="0" fontId="56" fillId="0" borderId="0" xfId="0" applyFont="1" applyFill="1" applyBorder="1" applyAlignment="1">
      <alignment/>
    </xf>
    <xf numFmtId="49" fontId="58" fillId="0" borderId="0" xfId="0" applyNumberFormat="1" applyFont="1" applyFill="1" applyBorder="1" applyAlignment="1">
      <alignment horizontal="center"/>
    </xf>
    <xf numFmtId="0" fontId="58" fillId="0" borderId="0" xfId="0" applyFont="1" applyFill="1" applyBorder="1" applyAlignment="1">
      <alignment horizontal="left" wrapText="1"/>
    </xf>
    <xf numFmtId="0" fontId="57" fillId="0" borderId="0" xfId="0" applyFont="1" applyFill="1" applyBorder="1" applyAlignment="1">
      <alignment/>
    </xf>
    <xf numFmtId="49" fontId="59" fillId="0" borderId="0" xfId="0" applyNumberFormat="1" applyFont="1" applyFill="1" applyBorder="1" applyAlignment="1">
      <alignment horizontal="center"/>
    </xf>
    <xf numFmtId="0" fontId="59" fillId="0" borderId="0" xfId="0" applyFont="1" applyFill="1" applyBorder="1" applyAlignment="1">
      <alignment horizontal="left" wrapText="1"/>
    </xf>
    <xf numFmtId="49" fontId="56" fillId="0" borderId="0" xfId="0" applyNumberFormat="1" applyFont="1" applyFill="1" applyBorder="1" applyAlignment="1">
      <alignment horizontal="center"/>
    </xf>
    <xf numFmtId="0" fontId="56" fillId="0" borderId="0" xfId="0" applyFont="1" applyFill="1" applyBorder="1" applyAlignment="1">
      <alignment wrapText="1"/>
    </xf>
    <xf numFmtId="196" fontId="56" fillId="0" borderId="0" xfId="0" applyNumberFormat="1" applyFont="1" applyFill="1" applyBorder="1" applyAlignment="1">
      <alignment wrapText="1"/>
    </xf>
    <xf numFmtId="188" fontId="56" fillId="0" borderId="0" xfId="0" applyNumberFormat="1" applyFont="1" applyFill="1" applyBorder="1" applyAlignment="1">
      <alignment/>
    </xf>
    <xf numFmtId="49" fontId="57" fillId="0" borderId="0" xfId="0" applyNumberFormat="1" applyFont="1" applyFill="1" applyBorder="1" applyAlignment="1">
      <alignment horizontal="center"/>
    </xf>
    <xf numFmtId="0" fontId="57" fillId="0" borderId="0" xfId="0" applyFont="1" applyFill="1" applyBorder="1" applyAlignment="1">
      <alignment horizontal="left" wrapText="1"/>
    </xf>
    <xf numFmtId="0" fontId="58" fillId="0" borderId="0" xfId="0" applyFont="1" applyFill="1" applyBorder="1" applyAlignment="1">
      <alignment/>
    </xf>
    <xf numFmtId="0" fontId="59" fillId="0" borderId="0" xfId="0" applyFont="1" applyFill="1" applyBorder="1" applyAlignment="1">
      <alignment/>
    </xf>
    <xf numFmtId="0" fontId="57" fillId="0" borderId="0" xfId="0" applyFont="1" applyFill="1" applyBorder="1" applyAlignment="1">
      <alignment wrapText="1"/>
    </xf>
    <xf numFmtId="1" fontId="56" fillId="0" borderId="0" xfId="0" applyNumberFormat="1" applyFont="1" applyFill="1" applyBorder="1" applyAlignment="1">
      <alignment horizontal="left" wrapText="1"/>
    </xf>
    <xf numFmtId="1" fontId="57" fillId="0" borderId="0" xfId="0" applyNumberFormat="1" applyFont="1" applyFill="1" applyBorder="1" applyAlignment="1">
      <alignment horizontal="left" wrapText="1"/>
    </xf>
    <xf numFmtId="0" fontId="56" fillId="0" borderId="0" xfId="0" applyFont="1" applyFill="1" applyAlignment="1">
      <alignment wrapText="1"/>
    </xf>
    <xf numFmtId="1" fontId="56" fillId="0" borderId="0" xfId="0" applyNumberFormat="1" applyFont="1" applyFill="1" applyBorder="1" applyAlignment="1">
      <alignment wrapText="1"/>
    </xf>
    <xf numFmtId="3" fontId="57" fillId="0" borderId="0" xfId="0" applyNumberFormat="1" applyFont="1" applyFill="1" applyBorder="1" applyAlignment="1" applyProtection="1">
      <alignment/>
      <protection locked="0"/>
    </xf>
    <xf numFmtId="1" fontId="57" fillId="0" borderId="0" xfId="0" applyNumberFormat="1" applyFont="1" applyFill="1" applyBorder="1" applyAlignment="1">
      <alignment wrapText="1"/>
    </xf>
    <xf numFmtId="0" fontId="58" fillId="0" borderId="0" xfId="0" applyFont="1" applyFill="1" applyBorder="1" applyAlignment="1">
      <alignment wrapText="1"/>
    </xf>
    <xf numFmtId="196" fontId="58" fillId="0" borderId="0" xfId="0" applyNumberFormat="1" applyFont="1" applyFill="1" applyBorder="1" applyAlignment="1">
      <alignment wrapText="1"/>
    </xf>
    <xf numFmtId="196" fontId="57" fillId="0" borderId="0" xfId="0" applyNumberFormat="1" applyFont="1" applyFill="1" applyBorder="1" applyAlignment="1">
      <alignment wrapText="1"/>
    </xf>
    <xf numFmtId="0" fontId="56" fillId="0" borderId="0" xfId="0" applyFont="1" applyFill="1" applyBorder="1" applyAlignment="1">
      <alignment horizontal="left" wrapText="1"/>
    </xf>
    <xf numFmtId="49" fontId="56" fillId="0" borderId="0" xfId="0" applyNumberFormat="1" applyFont="1" applyFill="1" applyBorder="1" applyAlignment="1">
      <alignment horizontal="center" wrapText="1"/>
    </xf>
    <xf numFmtId="3" fontId="57" fillId="0" borderId="0" xfId="0" applyNumberFormat="1" applyFont="1" applyFill="1" applyAlignment="1">
      <alignment horizontal="right"/>
    </xf>
    <xf numFmtId="3" fontId="57" fillId="0" borderId="0" xfId="0" applyNumberFormat="1" applyFont="1" applyFill="1" applyAlignment="1">
      <alignment horizontal="right" wrapText="1"/>
    </xf>
    <xf numFmtId="0" fontId="56" fillId="0" borderId="0" xfId="0" applyFont="1" applyFill="1" applyAlignment="1">
      <alignment/>
    </xf>
    <xf numFmtId="1" fontId="58" fillId="0" borderId="0" xfId="0" applyNumberFormat="1" applyFont="1" applyFill="1" applyBorder="1" applyAlignment="1">
      <alignment horizontal="left" wrapText="1"/>
    </xf>
    <xf numFmtId="188" fontId="56" fillId="0" borderId="0" xfId="0" applyNumberFormat="1" applyFont="1" applyFill="1" applyBorder="1" applyAlignment="1">
      <alignment wrapText="1"/>
    </xf>
    <xf numFmtId="188" fontId="57" fillId="0" borderId="0" xfId="0" applyNumberFormat="1" applyFont="1" applyFill="1" applyBorder="1" applyAlignment="1">
      <alignment wrapText="1"/>
    </xf>
    <xf numFmtId="49" fontId="58" fillId="0" borderId="0" xfId="0" applyNumberFormat="1" applyFont="1" applyFill="1" applyBorder="1" applyAlignment="1">
      <alignment horizontal="center" wrapText="1"/>
    </xf>
    <xf numFmtId="1" fontId="58" fillId="0" borderId="0" xfId="0" applyNumberFormat="1" applyFont="1" applyFill="1" applyBorder="1" applyAlignment="1">
      <alignment wrapText="1"/>
    </xf>
    <xf numFmtId="49" fontId="57" fillId="0" borderId="0" xfId="0" applyNumberFormat="1" applyFont="1" applyFill="1" applyBorder="1" applyAlignment="1">
      <alignment horizontal="center" wrapText="1"/>
    </xf>
    <xf numFmtId="0" fontId="57" fillId="0" borderId="0" xfId="0" applyFont="1" applyFill="1" applyAlignment="1">
      <alignment horizontal="left" wrapText="1"/>
    </xf>
    <xf numFmtId="0" fontId="56" fillId="0" borderId="0" xfId="0" applyFont="1" applyFill="1" applyAlignment="1">
      <alignment horizontal="left" wrapText="1"/>
    </xf>
    <xf numFmtId="49" fontId="56" fillId="0" borderId="0" xfId="0" applyNumberFormat="1" applyFont="1" applyFill="1" applyAlignment="1">
      <alignment horizontal="center"/>
    </xf>
    <xf numFmtId="49" fontId="57" fillId="0" borderId="0" xfId="0" applyNumberFormat="1" applyFont="1" applyFill="1" applyAlignment="1">
      <alignment horizontal="center"/>
    </xf>
    <xf numFmtId="49" fontId="58" fillId="0" borderId="0" xfId="0" applyNumberFormat="1" applyFont="1" applyFill="1" applyAlignment="1">
      <alignment horizontal="center"/>
    </xf>
    <xf numFmtId="0" fontId="63" fillId="0" borderId="0" xfId="0" applyFont="1" applyFill="1" applyBorder="1" applyAlignment="1">
      <alignment/>
    </xf>
    <xf numFmtId="0" fontId="64" fillId="0" borderId="0" xfId="0" applyFont="1" applyFill="1" applyBorder="1" applyAlignment="1">
      <alignment/>
    </xf>
    <xf numFmtId="196" fontId="56" fillId="0" borderId="0" xfId="0" applyNumberFormat="1" applyFont="1" applyFill="1" applyBorder="1" applyAlignment="1" applyProtection="1">
      <alignment/>
      <protection locked="0"/>
    </xf>
    <xf numFmtId="3" fontId="56" fillId="0" borderId="0" xfId="0" applyNumberFormat="1" applyFont="1" applyFill="1" applyBorder="1" applyAlignment="1">
      <alignment horizontal="right" wrapText="1"/>
    </xf>
    <xf numFmtId="0" fontId="59" fillId="0" borderId="0" xfId="0" applyFont="1" applyFill="1" applyBorder="1" applyAlignment="1">
      <alignment wrapText="1"/>
    </xf>
    <xf numFmtId="49" fontId="57" fillId="0" borderId="0" xfId="0" applyNumberFormat="1" applyFont="1" applyFill="1" applyBorder="1" applyAlignment="1">
      <alignment horizontal="left" wrapText="1"/>
    </xf>
    <xf numFmtId="0" fontId="57" fillId="0" borderId="0" xfId="0" applyFont="1" applyFill="1" applyAlignment="1">
      <alignment wrapText="1"/>
    </xf>
    <xf numFmtId="0" fontId="58" fillId="0" borderId="0" xfId="0" applyFont="1" applyFill="1" applyBorder="1" applyAlignment="1">
      <alignment horizontal="center"/>
    </xf>
    <xf numFmtId="0" fontId="59" fillId="0" borderId="0" xfId="0" applyFont="1" applyFill="1" applyBorder="1" applyAlignment="1">
      <alignment horizontal="center"/>
    </xf>
    <xf numFmtId="196" fontId="58" fillId="0" borderId="0" xfId="0" applyNumberFormat="1" applyFont="1" applyFill="1" applyBorder="1" applyAlignment="1">
      <alignment horizontal="right" wrapText="1"/>
    </xf>
    <xf numFmtId="3" fontId="65" fillId="0" borderId="0" xfId="0" applyNumberFormat="1" applyFont="1" applyFill="1" applyBorder="1" applyAlignment="1">
      <alignment wrapText="1"/>
    </xf>
    <xf numFmtId="0" fontId="60" fillId="0" borderId="0" xfId="0" applyFont="1" applyFill="1" applyAlignment="1">
      <alignment/>
    </xf>
    <xf numFmtId="0" fontId="60" fillId="0" borderId="0" xfId="0" applyFont="1" applyFill="1" applyAlignment="1">
      <alignment horizontal="center"/>
    </xf>
    <xf numFmtId="0" fontId="60" fillId="0" borderId="0" xfId="0" applyFont="1" applyFill="1" applyAlignment="1">
      <alignment wrapText="1"/>
    </xf>
    <xf numFmtId="0" fontId="66" fillId="0" borderId="0" xfId="0" applyFont="1" applyFill="1" applyAlignment="1">
      <alignment/>
    </xf>
    <xf numFmtId="0" fontId="66" fillId="0" borderId="0" xfId="0" applyFont="1" applyFill="1" applyAlignment="1">
      <alignment horizontal="center"/>
    </xf>
    <xf numFmtId="0" fontId="60" fillId="0" borderId="0" xfId="0" applyFont="1" applyFill="1" applyAlignment="1">
      <alignment horizontal="left" wrapText="1"/>
    </xf>
    <xf numFmtId="196" fontId="60" fillId="0" borderId="0" xfId="0" applyNumberFormat="1" applyFont="1" applyFill="1" applyAlignment="1">
      <alignment horizontal="right" wrapText="1"/>
    </xf>
    <xf numFmtId="0" fontId="61" fillId="0" borderId="0" xfId="0" applyFont="1" applyFill="1" applyAlignment="1">
      <alignment/>
    </xf>
    <xf numFmtId="0" fontId="61" fillId="0" borderId="0" xfId="0" applyFont="1" applyFill="1" applyAlignment="1">
      <alignment horizontal="center"/>
    </xf>
    <xf numFmtId="2" fontId="61" fillId="0" borderId="0" xfId="0" applyNumberFormat="1" applyFont="1" applyFill="1" applyAlignment="1">
      <alignment wrapText="1"/>
    </xf>
    <xf numFmtId="197" fontId="61" fillId="0" borderId="0" xfId="0" applyNumberFormat="1" applyFont="1" applyFill="1" applyAlignment="1">
      <alignment wrapText="1"/>
    </xf>
    <xf numFmtId="0" fontId="62" fillId="0" borderId="0" xfId="0" applyFont="1" applyFill="1" applyAlignment="1">
      <alignment horizontal="center"/>
    </xf>
    <xf numFmtId="49" fontId="62" fillId="0" borderId="0" xfId="0" applyNumberFormat="1" applyFont="1" applyFill="1" applyAlignment="1">
      <alignment wrapText="1"/>
    </xf>
    <xf numFmtId="0" fontId="67" fillId="0" borderId="0" xfId="0" applyFont="1" applyFill="1" applyAlignment="1">
      <alignment horizontal="center"/>
    </xf>
    <xf numFmtId="2" fontId="67" fillId="0" borderId="0" xfId="0" applyNumberFormat="1" applyFont="1" applyFill="1" applyAlignment="1">
      <alignment wrapText="1"/>
    </xf>
    <xf numFmtId="0" fontId="67" fillId="0" borderId="0" xfId="0" applyFont="1" applyFill="1" applyAlignment="1">
      <alignment/>
    </xf>
    <xf numFmtId="0" fontId="68" fillId="0" borderId="0" xfId="0" applyFont="1" applyFill="1" applyAlignment="1">
      <alignment horizontal="center"/>
    </xf>
    <xf numFmtId="0" fontId="68" fillId="0" borderId="0" xfId="0" applyFont="1" applyFill="1" applyAlignment="1">
      <alignment wrapText="1"/>
    </xf>
    <xf numFmtId="2" fontId="68" fillId="0" borderId="0" xfId="0" applyNumberFormat="1" applyFont="1" applyFill="1" applyAlignment="1">
      <alignment wrapText="1"/>
    </xf>
    <xf numFmtId="0" fontId="68" fillId="0" borderId="0" xfId="0" applyFont="1" applyFill="1" applyAlignment="1">
      <alignment/>
    </xf>
    <xf numFmtId="0" fontId="68" fillId="0" borderId="0" xfId="0" applyFont="1" applyFill="1" applyAlignment="1">
      <alignment/>
    </xf>
    <xf numFmtId="197" fontId="68" fillId="0" borderId="0" xfId="0" applyNumberFormat="1" applyFont="1" applyFill="1" applyAlignment="1">
      <alignment wrapText="1"/>
    </xf>
    <xf numFmtId="197" fontId="68" fillId="0" borderId="0" xfId="0" applyNumberFormat="1" applyFont="1" applyFill="1" applyAlignment="1">
      <alignment/>
    </xf>
    <xf numFmtId="0" fontId="68" fillId="0" borderId="0" xfId="0" applyFont="1" applyFill="1" applyAlignment="1">
      <alignment horizontal="left"/>
    </xf>
    <xf numFmtId="188" fontId="58" fillId="0" borderId="0" xfId="0" applyNumberFormat="1" applyFont="1" applyFill="1" applyBorder="1" applyAlignment="1">
      <alignment/>
    </xf>
    <xf numFmtId="0" fontId="69" fillId="0" borderId="10" xfId="0" applyNumberFormat="1" applyFont="1" applyFill="1" applyBorder="1" applyAlignment="1" applyProtection="1">
      <alignment horizontal="center" vertical="top" wrapText="1"/>
      <protection/>
    </xf>
    <xf numFmtId="49" fontId="6" fillId="0" borderId="0" xfId="0" applyNumberFormat="1" applyFont="1" applyFill="1" applyBorder="1" applyAlignment="1">
      <alignment wrapText="1"/>
    </xf>
    <xf numFmtId="0" fontId="8" fillId="0" borderId="0" xfId="0" applyFont="1" applyFill="1" applyBorder="1" applyAlignment="1">
      <alignment wrapText="1"/>
    </xf>
    <xf numFmtId="0" fontId="8" fillId="0" borderId="0" xfId="0" applyFont="1" applyFill="1" applyBorder="1" applyAlignment="1">
      <alignment horizontal="left" wrapText="1"/>
    </xf>
    <xf numFmtId="1" fontId="9" fillId="0" borderId="0" xfId="0" applyNumberFormat="1" applyFont="1" applyFill="1" applyBorder="1" applyAlignment="1">
      <alignment wrapText="1"/>
    </xf>
    <xf numFmtId="2" fontId="68" fillId="0" borderId="0" xfId="0" applyNumberFormat="1" applyFont="1" applyFill="1" applyAlignment="1">
      <alignment/>
    </xf>
    <xf numFmtId="2" fontId="68" fillId="0" borderId="0" xfId="0" applyNumberFormat="1" applyFont="1" applyFill="1" applyAlignment="1">
      <alignment horizontal="left"/>
    </xf>
    <xf numFmtId="2" fontId="62" fillId="0" borderId="0" xfId="0" applyNumberFormat="1" applyFont="1" applyFill="1" applyAlignment="1">
      <alignment wrapText="1"/>
    </xf>
    <xf numFmtId="2" fontId="70" fillId="0" borderId="0" xfId="0" applyNumberFormat="1" applyFont="1" applyFill="1" applyAlignment="1">
      <alignment wrapText="1"/>
    </xf>
    <xf numFmtId="2" fontId="66" fillId="0" borderId="0" xfId="0" applyNumberFormat="1" applyFont="1" applyFill="1" applyAlignment="1">
      <alignment wrapText="1"/>
    </xf>
    <xf numFmtId="1" fontId="56" fillId="0" borderId="10" xfId="0" applyNumberFormat="1" applyFont="1" applyFill="1" applyBorder="1" applyAlignment="1" applyProtection="1">
      <alignment horizontal="center" vertical="center" wrapText="1"/>
      <protection/>
    </xf>
    <xf numFmtId="43" fontId="68" fillId="0" borderId="0" xfId="60" applyFont="1" applyFill="1" applyAlignment="1">
      <alignment horizontal="right"/>
    </xf>
    <xf numFmtId="43" fontId="62" fillId="0" borderId="0" xfId="60" applyFont="1" applyFill="1" applyAlignment="1">
      <alignment horizontal="right" wrapText="1"/>
    </xf>
    <xf numFmtId="43" fontId="67" fillId="0" borderId="0" xfId="60" applyFont="1" applyFill="1" applyAlignment="1">
      <alignment horizontal="right" wrapText="1"/>
    </xf>
    <xf numFmtId="43" fontId="61" fillId="0" borderId="0" xfId="60" applyFont="1" applyFill="1" applyAlignment="1">
      <alignment horizontal="right" wrapText="1"/>
    </xf>
    <xf numFmtId="205" fontId="56" fillId="0" borderId="10" xfId="60" applyNumberFormat="1" applyFont="1" applyFill="1" applyBorder="1" applyAlignment="1" applyProtection="1">
      <alignment horizontal="left" vertical="center" wrapText="1"/>
      <protection/>
    </xf>
    <xf numFmtId="43" fontId="69" fillId="0" borderId="11" xfId="60" applyFont="1" applyFill="1" applyBorder="1" applyAlignment="1" applyProtection="1">
      <alignment horizontal="center" vertical="center" wrapText="1"/>
      <protection/>
    </xf>
    <xf numFmtId="4" fontId="56" fillId="0" borderId="0" xfId="0" applyNumberFormat="1" applyFont="1" applyFill="1" applyBorder="1" applyAlignment="1">
      <alignment wrapText="1"/>
    </xf>
    <xf numFmtId="4" fontId="57" fillId="0" borderId="0" xfId="0" applyNumberFormat="1" applyFont="1" applyFill="1" applyBorder="1" applyAlignment="1">
      <alignment wrapText="1"/>
    </xf>
    <xf numFmtId="4" fontId="71" fillId="0" borderId="0" xfId="0" applyNumberFormat="1" applyFont="1" applyFill="1" applyBorder="1" applyAlignment="1">
      <alignment wrapText="1"/>
    </xf>
    <xf numFmtId="4" fontId="56" fillId="0" borderId="0" xfId="0" applyNumberFormat="1" applyFont="1" applyFill="1" applyBorder="1" applyAlignment="1">
      <alignment/>
    </xf>
    <xf numFmtId="4" fontId="56" fillId="0" borderId="0" xfId="0" applyNumberFormat="1" applyFont="1" applyFill="1" applyBorder="1" applyAlignment="1" applyProtection="1">
      <alignment/>
      <protection locked="0"/>
    </xf>
    <xf numFmtId="4" fontId="58" fillId="0" borderId="0" xfId="0" applyNumberFormat="1" applyFont="1" applyFill="1" applyBorder="1" applyAlignment="1">
      <alignment wrapText="1"/>
    </xf>
    <xf numFmtId="4" fontId="56" fillId="0" borderId="0" xfId="0" applyNumberFormat="1" applyFont="1" applyFill="1" applyAlignment="1">
      <alignment horizontal="right" wrapText="1"/>
    </xf>
    <xf numFmtId="4" fontId="56" fillId="0" borderId="0" xfId="0" applyNumberFormat="1" applyFont="1" applyFill="1" applyBorder="1" applyAlignment="1">
      <alignment horizontal="right" wrapText="1"/>
    </xf>
    <xf numFmtId="4" fontId="57" fillId="0" borderId="0" xfId="0" applyNumberFormat="1" applyFont="1" applyFill="1" applyBorder="1" applyAlignment="1">
      <alignment horizontal="right" wrapText="1"/>
    </xf>
    <xf numFmtId="4" fontId="57" fillId="0" borderId="0" xfId="0" applyNumberFormat="1" applyFont="1" applyFill="1" applyBorder="1" applyAlignment="1" applyProtection="1">
      <alignment/>
      <protection locked="0"/>
    </xf>
    <xf numFmtId="4" fontId="59" fillId="0" borderId="0" xfId="0" applyNumberFormat="1" applyFont="1" applyFill="1" applyBorder="1" applyAlignment="1">
      <alignment wrapText="1"/>
    </xf>
    <xf numFmtId="4" fontId="58" fillId="0" borderId="0" xfId="0" applyNumberFormat="1" applyFont="1" applyFill="1" applyBorder="1" applyAlignment="1">
      <alignment horizontal="right" wrapText="1"/>
    </xf>
    <xf numFmtId="4" fontId="60" fillId="0" borderId="0" xfId="0" applyNumberFormat="1" applyFont="1" applyFill="1" applyAlignment="1">
      <alignment wrapText="1"/>
    </xf>
    <xf numFmtId="4" fontId="60" fillId="0" borderId="0" xfId="0" applyNumberFormat="1" applyFont="1" applyFill="1" applyAlignment="1">
      <alignment horizontal="right" wrapText="1"/>
    </xf>
    <xf numFmtId="4" fontId="56" fillId="0" borderId="0" xfId="60" applyNumberFormat="1" applyFont="1" applyFill="1" applyBorder="1" applyAlignment="1">
      <alignment horizontal="right" wrapText="1"/>
    </xf>
    <xf numFmtId="4" fontId="57" fillId="0" borderId="0" xfId="60" applyNumberFormat="1" applyFont="1" applyFill="1" applyBorder="1" applyAlignment="1">
      <alignment horizontal="right" wrapText="1"/>
    </xf>
    <xf numFmtId="4" fontId="56" fillId="0" borderId="0" xfId="60" applyNumberFormat="1" applyFont="1" applyFill="1" applyBorder="1" applyAlignment="1" applyProtection="1">
      <alignment horizontal="right"/>
      <protection locked="0"/>
    </xf>
    <xf numFmtId="4" fontId="64" fillId="0" borderId="0" xfId="0" applyNumberFormat="1" applyFont="1" applyFill="1" applyBorder="1" applyAlignment="1">
      <alignment wrapText="1"/>
    </xf>
    <xf numFmtId="4" fontId="63" fillId="0" borderId="0" xfId="0" applyNumberFormat="1" applyFont="1" applyFill="1" applyBorder="1" applyAlignment="1">
      <alignment wrapText="1"/>
    </xf>
    <xf numFmtId="4" fontId="57" fillId="0" borderId="0" xfId="60" applyNumberFormat="1" applyFont="1" applyFill="1" applyBorder="1" applyAlignment="1" applyProtection="1">
      <alignment horizontal="right"/>
      <protection locked="0"/>
    </xf>
    <xf numFmtId="4" fontId="58" fillId="0" borderId="0" xfId="60" applyNumberFormat="1" applyFont="1" applyFill="1" applyBorder="1" applyAlignment="1">
      <alignment horizontal="right" wrapText="1"/>
    </xf>
    <xf numFmtId="4" fontId="57" fillId="0" borderId="0" xfId="0" applyNumberFormat="1" applyFont="1" applyFill="1" applyAlignment="1">
      <alignment horizontal="right" wrapText="1"/>
    </xf>
    <xf numFmtId="4" fontId="57" fillId="0" borderId="0" xfId="60" applyNumberFormat="1" applyFont="1" applyFill="1" applyAlignment="1">
      <alignment horizontal="right" wrapText="1"/>
    </xf>
    <xf numFmtId="4" fontId="56" fillId="0" borderId="0" xfId="60" applyNumberFormat="1" applyFont="1" applyFill="1" applyAlignment="1">
      <alignment horizontal="right" wrapText="1"/>
    </xf>
    <xf numFmtId="4" fontId="59" fillId="0" borderId="0" xfId="60" applyNumberFormat="1" applyFont="1" applyFill="1" applyBorder="1" applyAlignment="1">
      <alignment horizontal="right" wrapText="1"/>
    </xf>
    <xf numFmtId="4" fontId="56" fillId="0" borderId="0" xfId="60" applyNumberFormat="1" applyFont="1" applyFill="1" applyBorder="1" applyAlignment="1" applyProtection="1">
      <alignment/>
      <protection locked="0"/>
    </xf>
    <xf numFmtId="4" fontId="60" fillId="0" borderId="0" xfId="60" applyNumberFormat="1" applyFont="1" applyFill="1" applyAlignment="1">
      <alignment horizontal="right" wrapText="1"/>
    </xf>
    <xf numFmtId="4" fontId="57" fillId="0" borderId="0" xfId="0" applyNumberFormat="1" applyFont="1" applyFill="1" applyBorder="1" applyAlignment="1">
      <alignment/>
    </xf>
    <xf numFmtId="4" fontId="58" fillId="0" borderId="0" xfId="0" applyNumberFormat="1" applyFont="1" applyFill="1" applyBorder="1" applyAlignment="1">
      <alignment/>
    </xf>
    <xf numFmtId="0" fontId="8" fillId="0" borderId="0" xfId="0" applyFont="1" applyFill="1" applyAlignment="1">
      <alignment wrapText="1"/>
    </xf>
    <xf numFmtId="0" fontId="10" fillId="0" borderId="0" xfId="0" applyFont="1" applyFill="1" applyBorder="1" applyAlignment="1">
      <alignment horizontal="left" wrapText="1"/>
    </xf>
    <xf numFmtId="0" fontId="11" fillId="0" borderId="0" xfId="0" applyFont="1" applyFill="1" applyBorder="1" applyAlignment="1">
      <alignment horizontal="left" wrapText="1"/>
    </xf>
    <xf numFmtId="49" fontId="10" fillId="0" borderId="0" xfId="0" applyNumberFormat="1" applyFont="1" applyFill="1" applyBorder="1" applyAlignment="1">
      <alignment horizontal="center"/>
    </xf>
    <xf numFmtId="49" fontId="11" fillId="0" borderId="0" xfId="0" applyNumberFormat="1" applyFont="1" applyFill="1" applyBorder="1" applyAlignment="1">
      <alignment horizontal="center"/>
    </xf>
    <xf numFmtId="0" fontId="11" fillId="0" borderId="0" xfId="0" applyFont="1" applyFill="1" applyBorder="1" applyAlignment="1">
      <alignment wrapText="1"/>
    </xf>
    <xf numFmtId="196" fontId="56" fillId="0" borderId="0" xfId="0" applyNumberFormat="1" applyFont="1" applyFill="1" applyBorder="1" applyAlignment="1">
      <alignment horizontal="right" wrapText="1"/>
    </xf>
    <xf numFmtId="49" fontId="68" fillId="0" borderId="0" xfId="0" applyNumberFormat="1" applyFont="1" applyFill="1" applyAlignment="1">
      <alignment horizontal="center" wrapText="1"/>
    </xf>
    <xf numFmtId="0" fontId="69" fillId="0" borderId="10" xfId="0" applyNumberFormat="1" applyFont="1" applyFill="1" applyBorder="1" applyAlignment="1" applyProtection="1">
      <alignment horizontal="center" vertical="top" wrapText="1"/>
      <protection/>
    </xf>
    <xf numFmtId="2" fontId="67" fillId="0" borderId="0" xfId="0" applyNumberFormat="1" applyFont="1" applyFill="1" applyAlignment="1">
      <alignment horizontal="center" wrapText="1"/>
    </xf>
    <xf numFmtId="198" fontId="67" fillId="0" borderId="0" xfId="0" applyNumberFormat="1" applyFont="1" applyFill="1" applyAlignment="1">
      <alignment horizontal="left" wrapText="1"/>
    </xf>
    <xf numFmtId="0" fontId="69" fillId="0" borderId="12" xfId="0" applyNumberFormat="1" applyFont="1" applyFill="1" applyBorder="1" applyAlignment="1" applyProtection="1">
      <alignment horizontal="center" vertical="top" wrapText="1"/>
      <protection/>
    </xf>
    <xf numFmtId="0" fontId="69" fillId="0" borderId="13" xfId="0" applyNumberFormat="1" applyFont="1" applyFill="1" applyBorder="1" applyAlignment="1" applyProtection="1">
      <alignment horizontal="center" vertical="top" wrapText="1"/>
      <protection/>
    </xf>
    <xf numFmtId="0" fontId="69" fillId="0" borderId="14" xfId="0" applyNumberFormat="1" applyFont="1" applyFill="1" applyBorder="1" applyAlignment="1" applyProtection="1">
      <alignment horizontal="center" vertical="top" wrapText="1"/>
      <protection/>
    </xf>
    <xf numFmtId="43" fontId="69" fillId="0" borderId="12" xfId="60" applyFont="1" applyFill="1" applyBorder="1" applyAlignment="1" applyProtection="1">
      <alignment horizontal="center" vertical="center" wrapText="1"/>
      <protection/>
    </xf>
    <xf numFmtId="43" fontId="69" fillId="0" borderId="14" xfId="60" applyFont="1" applyFill="1" applyBorder="1" applyAlignment="1" applyProtection="1">
      <alignment horizontal="center" vertical="center" wrapText="1"/>
      <protection/>
    </xf>
    <xf numFmtId="49" fontId="72" fillId="0" borderId="0" xfId="0" applyNumberFormat="1" applyFont="1" applyFill="1" applyAlignment="1">
      <alignment horizontal="center" wrapText="1"/>
    </xf>
    <xf numFmtId="49" fontId="73" fillId="0" borderId="0" xfId="0" applyNumberFormat="1" applyFont="1" applyFill="1" applyAlignment="1">
      <alignment horizontal="center" wrapText="1"/>
    </xf>
    <xf numFmtId="49" fontId="74" fillId="0" borderId="0" xfId="0" applyNumberFormat="1" applyFont="1" applyFill="1" applyAlignment="1">
      <alignment horizontal="center" wrapText="1"/>
    </xf>
    <xf numFmtId="0" fontId="69" fillId="0" borderId="11" xfId="0" applyNumberFormat="1" applyFont="1" applyFill="1" applyBorder="1" applyAlignment="1" applyProtection="1">
      <alignment horizontal="center" vertical="top" wrapText="1"/>
      <protection/>
    </xf>
    <xf numFmtId="0" fontId="69" fillId="0" borderId="15" xfId="0" applyNumberFormat="1" applyFont="1" applyFill="1" applyBorder="1" applyAlignment="1" applyProtection="1">
      <alignment horizontal="center" vertical="top" wrapText="1"/>
      <protection/>
    </xf>
    <xf numFmtId="0" fontId="69" fillId="0" borderId="16" xfId="0" applyNumberFormat="1" applyFont="1" applyFill="1" applyBorder="1" applyAlignment="1" applyProtection="1">
      <alignment horizontal="center"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7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345"/>
  <sheetViews>
    <sheetView tabSelected="1" view="pageBreakPreview" zoomScale="56" zoomScaleNormal="50" zoomScaleSheetLayoutView="56" zoomScalePageLayoutView="0" workbookViewId="0" topLeftCell="C1">
      <pane xSplit="1" topLeftCell="D1" activePane="topRight" state="frozen"/>
      <selection pane="topLeft" activeCell="C7" sqref="C7"/>
      <selection pane="topRight" activeCell="L16" sqref="L16"/>
    </sheetView>
  </sheetViews>
  <sheetFormatPr defaultColWidth="9.125" defaultRowHeight="12.75"/>
  <cols>
    <col min="1" max="1" width="4.00390625" style="75" hidden="1" customWidth="1"/>
    <col min="2" max="2" width="8.375" style="75" hidden="1" customWidth="1"/>
    <col min="3" max="3" width="14.00390625" style="76" customWidth="1"/>
    <col min="4" max="4" width="13.625" style="76" customWidth="1"/>
    <col min="5" max="5" width="14.50390625" style="76" customWidth="1"/>
    <col min="6" max="6" width="66.50390625" style="12" customWidth="1"/>
    <col min="7" max="7" width="19.875" style="12" customWidth="1"/>
    <col min="8" max="8" width="17.125" style="12" customWidth="1"/>
    <col min="9" max="9" width="20.875" style="12" customWidth="1"/>
    <col min="10" max="10" width="11.125" style="12" customWidth="1"/>
    <col min="11" max="11" width="17.875" style="77" hidden="1" customWidth="1"/>
    <col min="12" max="12" width="17.625" style="77" customWidth="1"/>
    <col min="13" max="13" width="15.50390625" style="77" customWidth="1"/>
    <col min="14" max="14" width="20.875" style="102" customWidth="1"/>
    <col min="15" max="15" width="19.50390625" style="107" customWidth="1"/>
    <col min="16" max="16" width="14.75390625" style="12" customWidth="1"/>
    <col min="17" max="17" width="15.00390625" style="12" hidden="1" customWidth="1"/>
    <col min="18" max="18" width="17.875" style="12" customWidth="1"/>
    <col min="19" max="19" width="15.625" style="78" customWidth="1"/>
    <col min="20" max="20" width="16.875" style="75" customWidth="1"/>
    <col min="21" max="21" width="14.50390625" style="75" customWidth="1"/>
    <col min="22" max="22" width="13.375" style="75" customWidth="1"/>
    <col min="23" max="16384" width="9.125" style="75" customWidth="1"/>
  </cols>
  <sheetData>
    <row r="1" spans="3:22" s="14" customFormat="1" ht="30.75" customHeight="1">
      <c r="C1" s="84"/>
      <c r="D1" s="84"/>
      <c r="E1" s="84"/>
      <c r="F1" s="85"/>
      <c r="G1" s="85"/>
      <c r="H1" s="85"/>
      <c r="I1" s="85"/>
      <c r="J1" s="85"/>
      <c r="K1" s="86"/>
      <c r="L1" s="86"/>
      <c r="M1" s="86"/>
      <c r="N1" s="98"/>
      <c r="O1" s="104"/>
      <c r="P1" s="87" t="s">
        <v>412</v>
      </c>
      <c r="Q1" s="88"/>
      <c r="R1" s="88"/>
      <c r="S1" s="89"/>
      <c r="T1" s="88"/>
      <c r="U1" s="88"/>
      <c r="V1" s="88"/>
    </row>
    <row r="2" spans="3:22" s="14" customFormat="1" ht="38.25" customHeight="1">
      <c r="C2" s="84"/>
      <c r="D2" s="84"/>
      <c r="E2" s="84"/>
      <c r="F2" s="85"/>
      <c r="G2" s="85"/>
      <c r="H2" s="85"/>
      <c r="I2" s="85"/>
      <c r="J2" s="85"/>
      <c r="K2" s="86"/>
      <c r="L2" s="86"/>
      <c r="M2" s="98"/>
      <c r="N2" s="98"/>
      <c r="O2" s="104"/>
      <c r="P2" s="87" t="s">
        <v>389</v>
      </c>
      <c r="Q2" s="88"/>
      <c r="R2" s="87"/>
      <c r="S2" s="90"/>
      <c r="T2" s="88"/>
      <c r="U2" s="88"/>
      <c r="V2" s="88"/>
    </row>
    <row r="3" spans="3:22" s="14" customFormat="1" ht="35.25" customHeight="1">
      <c r="C3" s="84"/>
      <c r="D3" s="84"/>
      <c r="E3" s="84"/>
      <c r="F3" s="85"/>
      <c r="G3" s="85"/>
      <c r="H3" s="85"/>
      <c r="I3" s="85"/>
      <c r="J3" s="85"/>
      <c r="K3" s="86"/>
      <c r="L3" s="86"/>
      <c r="M3" s="99"/>
      <c r="N3" s="99"/>
      <c r="O3" s="104"/>
      <c r="P3" s="91" t="s">
        <v>491</v>
      </c>
      <c r="Q3" s="88"/>
      <c r="R3" s="87"/>
      <c r="S3" s="89"/>
      <c r="T3" s="88"/>
      <c r="U3" s="88"/>
      <c r="V3" s="88"/>
    </row>
    <row r="4" spans="3:22" s="14" customFormat="1" ht="81" customHeight="1">
      <c r="C4" s="157" t="s">
        <v>457</v>
      </c>
      <c r="D4" s="157"/>
      <c r="E4" s="157"/>
      <c r="F4" s="157"/>
      <c r="G4" s="157"/>
      <c r="H4" s="157"/>
      <c r="I4" s="157"/>
      <c r="J4" s="157"/>
      <c r="K4" s="157"/>
      <c r="L4" s="157"/>
      <c r="M4" s="157"/>
      <c r="N4" s="157"/>
      <c r="O4" s="157"/>
      <c r="P4" s="157"/>
      <c r="Q4" s="157"/>
      <c r="R4" s="157"/>
      <c r="S4" s="157"/>
      <c r="T4" s="157"/>
      <c r="U4" s="157"/>
      <c r="V4" s="157"/>
    </row>
    <row r="5" spans="3:22" s="14" customFormat="1" ht="24" customHeight="1">
      <c r="C5" s="146"/>
      <c r="D5" s="146"/>
      <c r="E5" s="146"/>
      <c r="F5" s="146"/>
      <c r="G5" s="146"/>
      <c r="H5" s="146"/>
      <c r="I5" s="146"/>
      <c r="J5" s="146"/>
      <c r="K5" s="146"/>
      <c r="L5" s="146"/>
      <c r="M5" s="146"/>
      <c r="N5" s="146"/>
      <c r="O5" s="146"/>
      <c r="P5" s="146"/>
      <c r="Q5" s="146"/>
      <c r="R5" s="146"/>
      <c r="S5" s="146"/>
      <c r="T5" s="146"/>
      <c r="U5" s="146"/>
      <c r="V5" s="146"/>
    </row>
    <row r="6" spans="3:22" s="14" customFormat="1" ht="27" customHeight="1">
      <c r="C6" s="155" t="s">
        <v>489</v>
      </c>
      <c r="D6" s="155"/>
      <c r="E6" s="155"/>
      <c r="F6" s="155"/>
      <c r="G6" s="155"/>
      <c r="H6" s="155"/>
      <c r="I6" s="155"/>
      <c r="J6" s="155"/>
      <c r="K6" s="155"/>
      <c r="L6" s="155"/>
      <c r="M6" s="155"/>
      <c r="N6" s="155"/>
      <c r="O6" s="155"/>
      <c r="P6" s="155"/>
      <c r="Q6" s="155"/>
      <c r="R6" s="155"/>
      <c r="S6" s="155"/>
      <c r="T6" s="155"/>
      <c r="U6" s="155"/>
      <c r="V6" s="155"/>
    </row>
    <row r="7" spans="3:22" s="14" customFormat="1" ht="20.25" customHeight="1">
      <c r="C7" s="156" t="s">
        <v>490</v>
      </c>
      <c r="D7" s="156"/>
      <c r="E7" s="156"/>
      <c r="F7" s="156"/>
      <c r="G7" s="156"/>
      <c r="H7" s="156"/>
      <c r="I7" s="156"/>
      <c r="J7" s="156"/>
      <c r="K7" s="156"/>
      <c r="L7" s="156"/>
      <c r="M7" s="156"/>
      <c r="N7" s="156"/>
      <c r="O7" s="156"/>
      <c r="P7" s="156"/>
      <c r="Q7" s="156"/>
      <c r="R7" s="156"/>
      <c r="S7" s="156"/>
      <c r="T7" s="156"/>
      <c r="U7" s="156"/>
      <c r="V7" s="156"/>
    </row>
    <row r="8" spans="3:22" s="14" customFormat="1" ht="30" customHeight="1">
      <c r="C8" s="79"/>
      <c r="D8" s="79"/>
      <c r="E8" s="79"/>
      <c r="F8" s="80"/>
      <c r="G8" s="80"/>
      <c r="H8" s="80"/>
      <c r="I8" s="80"/>
      <c r="J8" s="80"/>
      <c r="K8" s="80"/>
      <c r="L8" s="100"/>
      <c r="M8" s="100"/>
      <c r="N8" s="100"/>
      <c r="O8" s="105"/>
      <c r="P8" s="80"/>
      <c r="Q8" s="80"/>
      <c r="S8" s="80"/>
      <c r="V8" s="80" t="s">
        <v>410</v>
      </c>
    </row>
    <row r="9" spans="3:22" s="14" customFormat="1" ht="24" customHeight="1">
      <c r="C9" s="150" t="s">
        <v>447</v>
      </c>
      <c r="D9" s="150" t="s">
        <v>446</v>
      </c>
      <c r="E9" s="150" t="s">
        <v>445</v>
      </c>
      <c r="F9" s="150" t="s">
        <v>366</v>
      </c>
      <c r="G9" s="158" t="s">
        <v>364</v>
      </c>
      <c r="H9" s="159"/>
      <c r="I9" s="159"/>
      <c r="J9" s="159"/>
      <c r="K9" s="160"/>
      <c r="L9" s="158" t="s">
        <v>365</v>
      </c>
      <c r="M9" s="159"/>
      <c r="N9" s="159"/>
      <c r="O9" s="159"/>
      <c r="P9" s="159"/>
      <c r="Q9" s="160"/>
      <c r="R9" s="147" t="s">
        <v>10</v>
      </c>
      <c r="S9" s="147"/>
      <c r="T9" s="147"/>
      <c r="U9" s="147"/>
      <c r="V9" s="147"/>
    </row>
    <row r="10" spans="3:22" s="14" customFormat="1" ht="24" customHeight="1">
      <c r="C10" s="151"/>
      <c r="D10" s="151"/>
      <c r="E10" s="151"/>
      <c r="F10" s="151"/>
      <c r="G10" s="150" t="s">
        <v>470</v>
      </c>
      <c r="H10" s="150" t="s">
        <v>471</v>
      </c>
      <c r="I10" s="147" t="s">
        <v>472</v>
      </c>
      <c r="J10" s="147" t="s">
        <v>411</v>
      </c>
      <c r="K10" s="150" t="s">
        <v>1</v>
      </c>
      <c r="L10" s="150" t="s">
        <v>470</v>
      </c>
      <c r="M10" s="150" t="s">
        <v>471</v>
      </c>
      <c r="N10" s="147" t="s">
        <v>472</v>
      </c>
      <c r="O10" s="109" t="s">
        <v>422</v>
      </c>
      <c r="P10" s="147" t="s">
        <v>414</v>
      </c>
      <c r="Q10" s="150"/>
      <c r="R10" s="150" t="s">
        <v>470</v>
      </c>
      <c r="S10" s="150" t="s">
        <v>471</v>
      </c>
      <c r="T10" s="147" t="s">
        <v>472</v>
      </c>
      <c r="U10" s="93" t="s">
        <v>422</v>
      </c>
      <c r="V10" s="147" t="s">
        <v>411</v>
      </c>
    </row>
    <row r="11" spans="3:22" s="14" customFormat="1" ht="24" customHeight="1">
      <c r="C11" s="151"/>
      <c r="D11" s="151"/>
      <c r="E11" s="151"/>
      <c r="F11" s="151"/>
      <c r="G11" s="151"/>
      <c r="H11" s="151"/>
      <c r="I11" s="147"/>
      <c r="J11" s="147"/>
      <c r="K11" s="151"/>
      <c r="L11" s="151"/>
      <c r="M11" s="151"/>
      <c r="N11" s="147"/>
      <c r="O11" s="153" t="s">
        <v>1</v>
      </c>
      <c r="P11" s="147"/>
      <c r="Q11" s="151"/>
      <c r="R11" s="151"/>
      <c r="S11" s="151"/>
      <c r="T11" s="147"/>
      <c r="U11" s="147" t="s">
        <v>1</v>
      </c>
      <c r="V11" s="147"/>
    </row>
    <row r="12" spans="3:22" s="14" customFormat="1" ht="33" customHeight="1">
      <c r="C12" s="152"/>
      <c r="D12" s="152"/>
      <c r="E12" s="152"/>
      <c r="F12" s="152"/>
      <c r="G12" s="152"/>
      <c r="H12" s="152"/>
      <c r="I12" s="147"/>
      <c r="J12" s="147"/>
      <c r="K12" s="152"/>
      <c r="L12" s="152"/>
      <c r="M12" s="152"/>
      <c r="N12" s="147"/>
      <c r="O12" s="154"/>
      <c r="P12" s="147"/>
      <c r="Q12" s="152"/>
      <c r="R12" s="152"/>
      <c r="S12" s="152"/>
      <c r="T12" s="147"/>
      <c r="U12" s="147"/>
      <c r="V12" s="147"/>
    </row>
    <row r="13" spans="3:22" s="14" customFormat="1" ht="24" customHeight="1">
      <c r="C13" s="2">
        <v>1</v>
      </c>
      <c r="D13" s="2">
        <v>2</v>
      </c>
      <c r="E13" s="2">
        <v>3</v>
      </c>
      <c r="F13" s="2">
        <v>4</v>
      </c>
      <c r="G13" s="2">
        <v>5</v>
      </c>
      <c r="H13" s="2">
        <v>6</v>
      </c>
      <c r="I13" s="2">
        <v>7</v>
      </c>
      <c r="J13" s="2">
        <v>8</v>
      </c>
      <c r="K13" s="2">
        <v>9</v>
      </c>
      <c r="L13" s="103">
        <v>9</v>
      </c>
      <c r="M13" s="103">
        <v>10</v>
      </c>
      <c r="N13" s="103">
        <v>11</v>
      </c>
      <c r="O13" s="108">
        <v>12</v>
      </c>
      <c r="P13" s="2">
        <v>13</v>
      </c>
      <c r="Q13" s="2">
        <v>15</v>
      </c>
      <c r="R13" s="2">
        <v>14</v>
      </c>
      <c r="S13" s="15" t="s">
        <v>413</v>
      </c>
      <c r="T13" s="16">
        <v>16</v>
      </c>
      <c r="U13" s="16">
        <v>17</v>
      </c>
      <c r="V13" s="16">
        <v>18</v>
      </c>
    </row>
    <row r="14" spans="3:21" s="17" customFormat="1" ht="42.75" customHeight="1">
      <c r="C14" s="18" t="s">
        <v>281</v>
      </c>
      <c r="D14" s="18"/>
      <c r="E14" s="18"/>
      <c r="F14" s="19" t="s">
        <v>367</v>
      </c>
      <c r="G14" s="110"/>
      <c r="H14" s="110"/>
      <c r="I14" s="110"/>
      <c r="J14" s="3"/>
      <c r="K14" s="3"/>
      <c r="L14" s="110"/>
      <c r="M14" s="110"/>
      <c r="N14" s="110"/>
      <c r="O14" s="124"/>
      <c r="P14" s="3"/>
      <c r="Q14" s="3"/>
      <c r="R14" s="110"/>
      <c r="S14" s="110"/>
      <c r="T14" s="113"/>
      <c r="U14" s="113"/>
    </row>
    <row r="15" spans="3:21" s="20" customFormat="1" ht="39" customHeight="1" hidden="1">
      <c r="C15" s="21" t="s">
        <v>282</v>
      </c>
      <c r="D15" s="21"/>
      <c r="E15" s="21"/>
      <c r="F15" s="22" t="s">
        <v>367</v>
      </c>
      <c r="G15" s="111"/>
      <c r="H15" s="112"/>
      <c r="I15" s="111"/>
      <c r="J15" s="4" t="s">
        <v>15</v>
      </c>
      <c r="K15" s="4"/>
      <c r="L15" s="111"/>
      <c r="M15" s="111"/>
      <c r="N15" s="111"/>
      <c r="O15" s="125"/>
      <c r="P15" s="4"/>
      <c r="Q15" s="4"/>
      <c r="R15" s="111"/>
      <c r="S15" s="111"/>
      <c r="T15" s="137"/>
      <c r="U15" s="137"/>
    </row>
    <row r="16" spans="1:22" s="17" customFormat="1" ht="66" customHeight="1">
      <c r="A16" s="17">
        <v>1</v>
      </c>
      <c r="B16" s="17">
        <v>1</v>
      </c>
      <c r="C16" s="23" t="s">
        <v>283</v>
      </c>
      <c r="D16" s="23" t="s">
        <v>90</v>
      </c>
      <c r="E16" s="23" t="s">
        <v>30</v>
      </c>
      <c r="F16" s="24" t="s">
        <v>381</v>
      </c>
      <c r="G16" s="110">
        <f>G17+G18</f>
        <v>27627700</v>
      </c>
      <c r="H16" s="110">
        <f>H17+H18</f>
        <v>11296928</v>
      </c>
      <c r="I16" s="110">
        <f>I17+I18</f>
        <v>5534962.65</v>
      </c>
      <c r="J16" s="25">
        <f>I16/G16*100</f>
        <v>20.034105806853265</v>
      </c>
      <c r="K16" s="1"/>
      <c r="L16" s="110">
        <f>L17+L18</f>
        <v>186200</v>
      </c>
      <c r="M16" s="110">
        <f>M17+M18</f>
        <v>6200</v>
      </c>
      <c r="N16" s="110">
        <f>N17+N18</f>
        <v>0</v>
      </c>
      <c r="O16" s="110">
        <f>O17+O18</f>
        <v>0</v>
      </c>
      <c r="P16" s="25">
        <f>N16/L16*100</f>
        <v>0</v>
      </c>
      <c r="Q16" s="1"/>
      <c r="R16" s="110">
        <f aca="true" t="shared" si="0" ref="R16:T18">G16+L16</f>
        <v>27813900</v>
      </c>
      <c r="S16" s="110">
        <f t="shared" si="0"/>
        <v>11303128</v>
      </c>
      <c r="T16" s="113">
        <f t="shared" si="0"/>
        <v>5534962.65</v>
      </c>
      <c r="U16" s="113">
        <f>O16</f>
        <v>0</v>
      </c>
      <c r="V16" s="26">
        <f>T16/R16*100</f>
        <v>19.899987596129996</v>
      </c>
    </row>
    <row r="17" spans="3:22" s="17" customFormat="1" ht="15">
      <c r="C17" s="23"/>
      <c r="D17" s="23"/>
      <c r="E17" s="23"/>
      <c r="F17" s="62" t="s">
        <v>476</v>
      </c>
      <c r="G17" s="110">
        <v>27506400</v>
      </c>
      <c r="H17" s="113">
        <v>11175628</v>
      </c>
      <c r="I17" s="110">
        <v>5534962.65</v>
      </c>
      <c r="J17" s="25">
        <f>I17/G17*100</f>
        <v>20.122453865282264</v>
      </c>
      <c r="K17" s="1"/>
      <c r="L17" s="110">
        <v>186200</v>
      </c>
      <c r="M17" s="110">
        <v>6200</v>
      </c>
      <c r="N17" s="110"/>
      <c r="O17" s="124"/>
      <c r="P17" s="25"/>
      <c r="Q17" s="1"/>
      <c r="R17" s="110">
        <f t="shared" si="0"/>
        <v>27692600</v>
      </c>
      <c r="S17" s="110">
        <f t="shared" si="0"/>
        <v>11181828</v>
      </c>
      <c r="T17" s="113">
        <f t="shared" si="0"/>
        <v>5534962.65</v>
      </c>
      <c r="U17" s="113">
        <f>O17</f>
        <v>0</v>
      </c>
      <c r="V17" s="26">
        <f>T17/R17*100</f>
        <v>19.98715414948398</v>
      </c>
    </row>
    <row r="18" spans="3:22" s="17" customFormat="1" ht="46.5">
      <c r="C18" s="23"/>
      <c r="D18" s="23"/>
      <c r="E18" s="23"/>
      <c r="F18" s="28" t="s">
        <v>310</v>
      </c>
      <c r="G18" s="110">
        <v>121300</v>
      </c>
      <c r="H18" s="113">
        <v>121300</v>
      </c>
      <c r="I18" s="110"/>
      <c r="J18" s="25">
        <f>I18/G18*100</f>
        <v>0</v>
      </c>
      <c r="K18" s="1"/>
      <c r="L18" s="110"/>
      <c r="M18" s="110"/>
      <c r="N18" s="110"/>
      <c r="O18" s="124"/>
      <c r="P18" s="25"/>
      <c r="Q18" s="1"/>
      <c r="R18" s="110">
        <f t="shared" si="0"/>
        <v>121300</v>
      </c>
      <c r="S18" s="110">
        <f t="shared" si="0"/>
        <v>121300</v>
      </c>
      <c r="T18" s="113">
        <f t="shared" si="0"/>
        <v>0</v>
      </c>
      <c r="U18" s="113">
        <f>O18</f>
        <v>0</v>
      </c>
      <c r="V18" s="26">
        <f>T18/R18*100</f>
        <v>0</v>
      </c>
    </row>
    <row r="19" spans="3:22" s="20" customFormat="1" ht="29.25" customHeight="1">
      <c r="C19" s="23" t="s">
        <v>296</v>
      </c>
      <c r="D19" s="23" t="s">
        <v>29</v>
      </c>
      <c r="E19" s="23" t="s">
        <v>41</v>
      </c>
      <c r="F19" s="24" t="s">
        <v>297</v>
      </c>
      <c r="G19" s="114">
        <f>SUM(G20:G21)</f>
        <v>245800</v>
      </c>
      <c r="H19" s="113">
        <f>H20+H21</f>
        <v>24150</v>
      </c>
      <c r="I19" s="114">
        <f aca="true" t="shared" si="1" ref="I19:Q19">SUM(I20:I21)</f>
        <v>8502</v>
      </c>
      <c r="J19" s="5">
        <f t="shared" si="1"/>
        <v>12.051552162849873</v>
      </c>
      <c r="K19" s="5">
        <f t="shared" si="1"/>
        <v>0</v>
      </c>
      <c r="L19" s="114">
        <f t="shared" si="1"/>
        <v>0</v>
      </c>
      <c r="M19" s="114">
        <f t="shared" si="1"/>
        <v>0</v>
      </c>
      <c r="N19" s="114">
        <f t="shared" si="1"/>
        <v>0</v>
      </c>
      <c r="O19" s="126">
        <f t="shared" si="1"/>
        <v>0</v>
      </c>
      <c r="P19" s="5">
        <f t="shared" si="1"/>
        <v>0</v>
      </c>
      <c r="Q19" s="5">
        <f t="shared" si="1"/>
        <v>0</v>
      </c>
      <c r="R19" s="110">
        <f aca="true" t="shared" si="2" ref="R19:R35">G19+L19</f>
        <v>245800</v>
      </c>
      <c r="S19" s="110">
        <f aca="true" t="shared" si="3" ref="S19:S81">H19+M19</f>
        <v>24150</v>
      </c>
      <c r="T19" s="113">
        <f aca="true" t="shared" si="4" ref="T19:T81">I19+N19</f>
        <v>8502</v>
      </c>
      <c r="U19" s="113">
        <f aca="true" t="shared" si="5" ref="U19:U81">O19</f>
        <v>0</v>
      </c>
      <c r="V19" s="26">
        <f aca="true" t="shared" si="6" ref="V19:V81">T19/R19*100</f>
        <v>3.4589096826688364</v>
      </c>
    </row>
    <row r="20" spans="3:22" s="20" customFormat="1" ht="52.5" customHeight="1">
      <c r="C20" s="27"/>
      <c r="D20" s="27"/>
      <c r="E20" s="27"/>
      <c r="F20" s="28" t="s">
        <v>393</v>
      </c>
      <c r="G20" s="110">
        <v>10000</v>
      </c>
      <c r="H20" s="113">
        <v>6000</v>
      </c>
      <c r="I20" s="110">
        <v>882</v>
      </c>
      <c r="J20" s="25">
        <f aca="true" t="shared" si="7" ref="J20:J35">I20/G20*100</f>
        <v>8.82</v>
      </c>
      <c r="K20" s="6"/>
      <c r="L20" s="110"/>
      <c r="M20" s="111"/>
      <c r="N20" s="127"/>
      <c r="O20" s="125"/>
      <c r="P20" s="25"/>
      <c r="Q20" s="6"/>
      <c r="R20" s="110">
        <f t="shared" si="2"/>
        <v>10000</v>
      </c>
      <c r="S20" s="110">
        <f t="shared" si="3"/>
        <v>6000</v>
      </c>
      <c r="T20" s="113">
        <f t="shared" si="4"/>
        <v>882</v>
      </c>
      <c r="U20" s="113">
        <f t="shared" si="5"/>
        <v>0</v>
      </c>
      <c r="V20" s="26">
        <f t="shared" si="6"/>
        <v>8.82</v>
      </c>
    </row>
    <row r="21" spans="3:22" s="20" customFormat="1" ht="25.5" customHeight="1">
      <c r="C21" s="27"/>
      <c r="D21" s="27"/>
      <c r="E21" s="27"/>
      <c r="F21" s="28" t="s">
        <v>301</v>
      </c>
      <c r="G21" s="110">
        <v>235800</v>
      </c>
      <c r="H21" s="113">
        <v>18150</v>
      </c>
      <c r="I21" s="110">
        <v>7620</v>
      </c>
      <c r="J21" s="25">
        <f t="shared" si="7"/>
        <v>3.2315521628498725</v>
      </c>
      <c r="K21" s="6"/>
      <c r="L21" s="110"/>
      <c r="M21" s="111"/>
      <c r="N21" s="127"/>
      <c r="O21" s="125"/>
      <c r="P21" s="25"/>
      <c r="Q21" s="6"/>
      <c r="R21" s="110">
        <f t="shared" si="2"/>
        <v>235800</v>
      </c>
      <c r="S21" s="110">
        <f t="shared" si="3"/>
        <v>18150</v>
      </c>
      <c r="T21" s="113">
        <f t="shared" si="4"/>
        <v>7620</v>
      </c>
      <c r="U21" s="113">
        <f t="shared" si="5"/>
        <v>0</v>
      </c>
      <c r="V21" s="26">
        <f t="shared" si="6"/>
        <v>3.2315521628498725</v>
      </c>
    </row>
    <row r="22" spans="3:22" s="17" customFormat="1" ht="27" customHeight="1">
      <c r="C22" s="23" t="s">
        <v>362</v>
      </c>
      <c r="D22" s="23" t="s">
        <v>110</v>
      </c>
      <c r="E22" s="23" t="s">
        <v>32</v>
      </c>
      <c r="F22" s="32" t="s">
        <v>26</v>
      </c>
      <c r="G22" s="110">
        <f>G23</f>
        <v>11000</v>
      </c>
      <c r="H22" s="110">
        <f>H23</f>
        <v>0</v>
      </c>
      <c r="I22" s="110">
        <f>I23</f>
        <v>0</v>
      </c>
      <c r="J22" s="25">
        <f t="shared" si="7"/>
        <v>0</v>
      </c>
      <c r="K22" s="5">
        <f>K23</f>
        <v>0</v>
      </c>
      <c r="L22" s="110"/>
      <c r="M22" s="114">
        <f>M23</f>
        <v>0</v>
      </c>
      <c r="N22" s="114">
        <f>N23</f>
        <v>0</v>
      </c>
      <c r="O22" s="126">
        <f>O23</f>
        <v>0</v>
      </c>
      <c r="P22" s="25"/>
      <c r="Q22" s="5">
        <f>Q23</f>
        <v>0</v>
      </c>
      <c r="R22" s="110">
        <f t="shared" si="2"/>
        <v>11000</v>
      </c>
      <c r="S22" s="110">
        <f t="shared" si="3"/>
        <v>0</v>
      </c>
      <c r="T22" s="113">
        <f t="shared" si="4"/>
        <v>0</v>
      </c>
      <c r="U22" s="113">
        <f t="shared" si="5"/>
        <v>0</v>
      </c>
      <c r="V22" s="26">
        <f t="shared" si="6"/>
        <v>0</v>
      </c>
    </row>
    <row r="23" spans="3:22" s="17" customFormat="1" ht="42" customHeight="1">
      <c r="C23" s="23"/>
      <c r="D23" s="23"/>
      <c r="E23" s="23"/>
      <c r="F23" s="33" t="s">
        <v>357</v>
      </c>
      <c r="G23" s="110">
        <v>11000</v>
      </c>
      <c r="H23" s="110"/>
      <c r="I23" s="110"/>
      <c r="J23" s="25">
        <f t="shared" si="7"/>
        <v>0</v>
      </c>
      <c r="K23" s="1"/>
      <c r="L23" s="110"/>
      <c r="M23" s="110"/>
      <c r="N23" s="128"/>
      <c r="O23" s="124"/>
      <c r="P23" s="25"/>
      <c r="Q23" s="1"/>
      <c r="R23" s="110">
        <f t="shared" si="2"/>
        <v>11000</v>
      </c>
      <c r="S23" s="110">
        <f t="shared" si="3"/>
        <v>0</v>
      </c>
      <c r="T23" s="113">
        <f t="shared" si="4"/>
        <v>0</v>
      </c>
      <c r="U23" s="113">
        <f t="shared" si="5"/>
        <v>0</v>
      </c>
      <c r="V23" s="26">
        <f t="shared" si="6"/>
        <v>0</v>
      </c>
    </row>
    <row r="24" spans="3:22" s="17" customFormat="1" ht="30" customHeight="1">
      <c r="C24" s="23" t="s">
        <v>298</v>
      </c>
      <c r="D24" s="23" t="s">
        <v>299</v>
      </c>
      <c r="E24" s="23" t="s">
        <v>31</v>
      </c>
      <c r="F24" s="34" t="s">
        <v>300</v>
      </c>
      <c r="G24" s="110">
        <f>G25+G26</f>
        <v>229800</v>
      </c>
      <c r="H24" s="110">
        <f>H25+H26</f>
        <v>200000</v>
      </c>
      <c r="I24" s="110">
        <f>I25+I26</f>
        <v>0</v>
      </c>
      <c r="J24" s="25">
        <f t="shared" si="7"/>
        <v>0</v>
      </c>
      <c r="K24" s="5">
        <f>K26</f>
        <v>0</v>
      </c>
      <c r="L24" s="110"/>
      <c r="M24" s="114">
        <f>M26</f>
        <v>0</v>
      </c>
      <c r="N24" s="114">
        <f>N26</f>
        <v>0</v>
      </c>
      <c r="O24" s="126">
        <f>O26</f>
        <v>0</v>
      </c>
      <c r="P24" s="25"/>
      <c r="Q24" s="5">
        <f>Q26</f>
        <v>0</v>
      </c>
      <c r="R24" s="110">
        <f t="shared" si="2"/>
        <v>229800</v>
      </c>
      <c r="S24" s="110">
        <f t="shared" si="3"/>
        <v>200000</v>
      </c>
      <c r="T24" s="113">
        <f t="shared" si="4"/>
        <v>0</v>
      </c>
      <c r="U24" s="113">
        <f t="shared" si="5"/>
        <v>0</v>
      </c>
      <c r="V24" s="26">
        <f t="shared" si="6"/>
        <v>0</v>
      </c>
    </row>
    <row r="25" spans="3:22" s="17" customFormat="1" ht="34.5" customHeight="1">
      <c r="C25" s="23"/>
      <c r="D25" s="23"/>
      <c r="E25" s="23"/>
      <c r="F25" s="139" t="s">
        <v>458</v>
      </c>
      <c r="G25" s="110">
        <v>200000</v>
      </c>
      <c r="H25" s="114">
        <v>200000</v>
      </c>
      <c r="I25" s="114"/>
      <c r="J25" s="25"/>
      <c r="K25" s="5"/>
      <c r="L25" s="110"/>
      <c r="M25" s="114"/>
      <c r="N25" s="114"/>
      <c r="O25" s="126"/>
      <c r="P25" s="25"/>
      <c r="Q25" s="5"/>
      <c r="R25" s="110">
        <f>G25+L25</f>
        <v>200000</v>
      </c>
      <c r="S25" s="110">
        <f>H25+M25</f>
        <v>200000</v>
      </c>
      <c r="T25" s="113">
        <f>I25+N25</f>
        <v>0</v>
      </c>
      <c r="U25" s="113">
        <f>O25</f>
        <v>0</v>
      </c>
      <c r="V25" s="26">
        <f>T25/R25*100</f>
        <v>0</v>
      </c>
    </row>
    <row r="26" spans="3:22" s="17" customFormat="1" ht="31.5" customHeight="1">
      <c r="C26" s="23"/>
      <c r="D26" s="23"/>
      <c r="E26" s="23"/>
      <c r="F26" s="28" t="s">
        <v>301</v>
      </c>
      <c r="G26" s="110">
        <v>29800</v>
      </c>
      <c r="H26" s="110"/>
      <c r="I26" s="110"/>
      <c r="J26" s="25">
        <f t="shared" si="7"/>
        <v>0</v>
      </c>
      <c r="K26" s="1"/>
      <c r="L26" s="110"/>
      <c r="M26" s="110"/>
      <c r="N26" s="128"/>
      <c r="O26" s="124"/>
      <c r="P26" s="25"/>
      <c r="Q26" s="1"/>
      <c r="R26" s="110">
        <f t="shared" si="2"/>
        <v>29800</v>
      </c>
      <c r="S26" s="110">
        <f t="shared" si="3"/>
        <v>0</v>
      </c>
      <c r="T26" s="113">
        <f t="shared" si="4"/>
        <v>0</v>
      </c>
      <c r="U26" s="113">
        <f t="shared" si="5"/>
        <v>0</v>
      </c>
      <c r="V26" s="26">
        <f t="shared" si="6"/>
        <v>0</v>
      </c>
    </row>
    <row r="27" spans="3:22" s="17" customFormat="1" ht="29.25" customHeight="1">
      <c r="C27" s="23" t="s">
        <v>290</v>
      </c>
      <c r="D27" s="23" t="s">
        <v>113</v>
      </c>
      <c r="E27" s="23" t="s">
        <v>67</v>
      </c>
      <c r="F27" s="24" t="s">
        <v>114</v>
      </c>
      <c r="G27" s="114">
        <f>G29+G28</f>
        <v>115700</v>
      </c>
      <c r="H27" s="114">
        <f>H29+H28</f>
        <v>84300</v>
      </c>
      <c r="I27" s="114">
        <f>I29+I28</f>
        <v>45092.6</v>
      </c>
      <c r="J27" s="25">
        <f t="shared" si="7"/>
        <v>38.97372515125324</v>
      </c>
      <c r="K27" s="5">
        <f>K29</f>
        <v>0</v>
      </c>
      <c r="L27" s="114"/>
      <c r="M27" s="114">
        <f>M29</f>
        <v>0</v>
      </c>
      <c r="N27" s="114">
        <f>N29</f>
        <v>0</v>
      </c>
      <c r="O27" s="126">
        <f>O29</f>
        <v>0</v>
      </c>
      <c r="P27" s="25"/>
      <c r="Q27" s="5">
        <f>Q29</f>
        <v>0</v>
      </c>
      <c r="R27" s="110">
        <f t="shared" si="2"/>
        <v>115700</v>
      </c>
      <c r="S27" s="110">
        <f t="shared" si="3"/>
        <v>84300</v>
      </c>
      <c r="T27" s="113">
        <f t="shared" si="4"/>
        <v>45092.6</v>
      </c>
      <c r="U27" s="113">
        <f t="shared" si="5"/>
        <v>0</v>
      </c>
      <c r="V27" s="26">
        <f t="shared" si="6"/>
        <v>38.97372515125324</v>
      </c>
    </row>
    <row r="28" spans="3:22" s="17" customFormat="1" ht="30.75">
      <c r="C28" s="23"/>
      <c r="D28" s="23"/>
      <c r="E28" s="23"/>
      <c r="F28" s="95" t="s">
        <v>145</v>
      </c>
      <c r="G28" s="114">
        <v>30100</v>
      </c>
      <c r="H28" s="114">
        <v>15100</v>
      </c>
      <c r="I28" s="114">
        <v>7225</v>
      </c>
      <c r="J28" s="25">
        <f t="shared" si="7"/>
        <v>24.003322259136212</v>
      </c>
      <c r="K28" s="5"/>
      <c r="L28" s="114"/>
      <c r="M28" s="114"/>
      <c r="N28" s="114"/>
      <c r="O28" s="126"/>
      <c r="P28" s="25"/>
      <c r="Q28" s="5"/>
      <c r="R28" s="110">
        <f>G28+L28</f>
        <v>30100</v>
      </c>
      <c r="S28" s="110">
        <f>H28+M28</f>
        <v>15100</v>
      </c>
      <c r="T28" s="113">
        <f>I28+N28</f>
        <v>7225</v>
      </c>
      <c r="U28" s="113">
        <f>O28</f>
        <v>0</v>
      </c>
      <c r="V28" s="26">
        <f>T28/R28*100</f>
        <v>24.003322259136212</v>
      </c>
    </row>
    <row r="29" spans="3:22" s="17" customFormat="1" ht="40.5" customHeight="1">
      <c r="C29" s="27"/>
      <c r="D29" s="27"/>
      <c r="E29" s="23"/>
      <c r="F29" s="31" t="s">
        <v>356</v>
      </c>
      <c r="G29" s="110">
        <v>85600</v>
      </c>
      <c r="H29" s="110">
        <v>69200</v>
      </c>
      <c r="I29" s="110">
        <v>37867.6</v>
      </c>
      <c r="J29" s="25">
        <f t="shared" si="7"/>
        <v>44.23785046728972</v>
      </c>
      <c r="K29" s="1"/>
      <c r="L29" s="110"/>
      <c r="M29" s="111"/>
      <c r="N29" s="127"/>
      <c r="O29" s="125"/>
      <c r="P29" s="25"/>
      <c r="Q29" s="6"/>
      <c r="R29" s="110">
        <f t="shared" si="2"/>
        <v>85600</v>
      </c>
      <c r="S29" s="110">
        <f t="shared" si="3"/>
        <v>69200</v>
      </c>
      <c r="T29" s="113">
        <f t="shared" si="4"/>
        <v>37867.6</v>
      </c>
      <c r="U29" s="113">
        <f t="shared" si="5"/>
        <v>0</v>
      </c>
      <c r="V29" s="26">
        <f t="shared" si="6"/>
        <v>44.23785046728972</v>
      </c>
    </row>
    <row r="30" spans="3:22" s="17" customFormat="1" ht="43.5" customHeight="1" hidden="1">
      <c r="C30" s="23"/>
      <c r="D30" s="23"/>
      <c r="E30" s="23"/>
      <c r="F30" s="24"/>
      <c r="G30" s="114"/>
      <c r="H30" s="114"/>
      <c r="I30" s="114"/>
      <c r="J30" s="25"/>
      <c r="K30" s="5"/>
      <c r="L30" s="114"/>
      <c r="M30" s="114"/>
      <c r="N30" s="114"/>
      <c r="O30" s="126"/>
      <c r="P30" s="25"/>
      <c r="Q30" s="6"/>
      <c r="R30" s="110">
        <f t="shared" si="2"/>
        <v>0</v>
      </c>
      <c r="S30" s="110">
        <f t="shared" si="3"/>
        <v>0</v>
      </c>
      <c r="T30" s="113">
        <f t="shared" si="4"/>
        <v>0</v>
      </c>
      <c r="U30" s="113">
        <f t="shared" si="5"/>
        <v>0</v>
      </c>
      <c r="V30" s="26" t="e">
        <f t="shared" si="6"/>
        <v>#DIV/0!</v>
      </c>
    </row>
    <row r="31" spans="3:22" s="17" customFormat="1" ht="29.25" customHeight="1" hidden="1">
      <c r="C31" s="23"/>
      <c r="D31" s="23"/>
      <c r="E31" s="23"/>
      <c r="F31" s="31"/>
      <c r="G31" s="110"/>
      <c r="H31" s="110"/>
      <c r="I31" s="110"/>
      <c r="J31" s="25"/>
      <c r="K31" s="1"/>
      <c r="L31" s="110"/>
      <c r="M31" s="111"/>
      <c r="N31" s="127"/>
      <c r="O31" s="125"/>
      <c r="P31" s="25"/>
      <c r="Q31" s="6"/>
      <c r="R31" s="110">
        <f t="shared" si="2"/>
        <v>0</v>
      </c>
      <c r="S31" s="110">
        <f t="shared" si="3"/>
        <v>0</v>
      </c>
      <c r="T31" s="113">
        <f t="shared" si="4"/>
        <v>0</v>
      </c>
      <c r="U31" s="113">
        <f t="shared" si="5"/>
        <v>0</v>
      </c>
      <c r="V31" s="26" t="e">
        <f t="shared" si="6"/>
        <v>#DIV/0!</v>
      </c>
    </row>
    <row r="32" spans="3:22" s="17" customFormat="1" ht="15" hidden="1">
      <c r="C32" s="23" t="s">
        <v>361</v>
      </c>
      <c r="D32" s="23" t="s">
        <v>111</v>
      </c>
      <c r="E32" s="23" t="s">
        <v>29</v>
      </c>
      <c r="F32" s="35" t="s">
        <v>112</v>
      </c>
      <c r="G32" s="110">
        <f>H32+K32</f>
        <v>0</v>
      </c>
      <c r="H32" s="114">
        <f>SUM(H33:H34)</f>
        <v>0</v>
      </c>
      <c r="I32" s="114">
        <f>SUM(I33:I34)</f>
        <v>0</v>
      </c>
      <c r="J32" s="1" t="e">
        <f t="shared" si="7"/>
        <v>#DIV/0!</v>
      </c>
      <c r="K32" s="5">
        <f>SUM(K33:K34)</f>
        <v>0</v>
      </c>
      <c r="L32" s="110">
        <f>N32+Q32</f>
        <v>0</v>
      </c>
      <c r="M32" s="110"/>
      <c r="N32" s="119">
        <f>SUM(N33:N34)</f>
        <v>0</v>
      </c>
      <c r="O32" s="129">
        <f>SUM(O33:O34)</f>
        <v>0</v>
      </c>
      <c r="P32" s="25" t="e">
        <f>N32/L32*100</f>
        <v>#DIV/0!</v>
      </c>
      <c r="Q32" s="36">
        <f>SUM(Q33:Q34)</f>
        <v>0</v>
      </c>
      <c r="R32" s="110">
        <f t="shared" si="2"/>
        <v>0</v>
      </c>
      <c r="S32" s="110">
        <f t="shared" si="3"/>
        <v>0</v>
      </c>
      <c r="T32" s="113">
        <f t="shared" si="4"/>
        <v>0</v>
      </c>
      <c r="U32" s="113">
        <f t="shared" si="5"/>
        <v>0</v>
      </c>
      <c r="V32" s="26" t="e">
        <f t="shared" si="6"/>
        <v>#DIV/0!</v>
      </c>
    </row>
    <row r="33" spans="3:22" s="17" customFormat="1" ht="30.75" hidden="1">
      <c r="C33" s="23"/>
      <c r="D33" s="23"/>
      <c r="E33" s="23"/>
      <c r="F33" s="37" t="s">
        <v>368</v>
      </c>
      <c r="G33" s="110">
        <f>H33+K33</f>
        <v>0</v>
      </c>
      <c r="H33" s="110"/>
      <c r="I33" s="110"/>
      <c r="J33" s="1" t="e">
        <f t="shared" si="7"/>
        <v>#DIV/0!</v>
      </c>
      <c r="K33" s="1"/>
      <c r="L33" s="110">
        <f>N33+Q33</f>
        <v>0</v>
      </c>
      <c r="M33" s="110"/>
      <c r="N33" s="110"/>
      <c r="O33" s="124"/>
      <c r="P33" s="25" t="e">
        <f>N33/L33*100</f>
        <v>#DIV/0!</v>
      </c>
      <c r="Q33" s="1"/>
      <c r="R33" s="110">
        <f t="shared" si="2"/>
        <v>0</v>
      </c>
      <c r="S33" s="110">
        <f t="shared" si="3"/>
        <v>0</v>
      </c>
      <c r="T33" s="113">
        <f t="shared" si="4"/>
        <v>0</v>
      </c>
      <c r="U33" s="113">
        <f t="shared" si="5"/>
        <v>0</v>
      </c>
      <c r="V33" s="26" t="e">
        <f t="shared" si="6"/>
        <v>#DIV/0!</v>
      </c>
    </row>
    <row r="34" spans="3:22" s="17" customFormat="1" ht="30.75" hidden="1">
      <c r="C34" s="23"/>
      <c r="D34" s="23"/>
      <c r="E34" s="23"/>
      <c r="F34" s="37" t="s">
        <v>72</v>
      </c>
      <c r="G34" s="110">
        <f>H34+K34</f>
        <v>0</v>
      </c>
      <c r="H34" s="110"/>
      <c r="I34" s="110"/>
      <c r="J34" s="1" t="e">
        <f t="shared" si="7"/>
        <v>#DIV/0!</v>
      </c>
      <c r="K34" s="1"/>
      <c r="L34" s="111">
        <f>N34+Q34</f>
        <v>0</v>
      </c>
      <c r="M34" s="111"/>
      <c r="N34" s="111"/>
      <c r="O34" s="125"/>
      <c r="P34" s="25" t="e">
        <f>N34/L34*100</f>
        <v>#DIV/0!</v>
      </c>
      <c r="Q34" s="6"/>
      <c r="R34" s="110">
        <f t="shared" si="2"/>
        <v>0</v>
      </c>
      <c r="S34" s="110">
        <f t="shared" si="3"/>
        <v>0</v>
      </c>
      <c r="T34" s="113">
        <f t="shared" si="4"/>
        <v>0</v>
      </c>
      <c r="U34" s="113">
        <f t="shared" si="5"/>
        <v>0</v>
      </c>
      <c r="V34" s="26" t="e">
        <f t="shared" si="6"/>
        <v>#DIV/0!</v>
      </c>
    </row>
    <row r="35" spans="3:22" s="17" customFormat="1" ht="31.5" customHeight="1">
      <c r="C35" s="23"/>
      <c r="D35" s="23"/>
      <c r="E35" s="23"/>
      <c r="F35" s="38" t="s">
        <v>5</v>
      </c>
      <c r="G35" s="115">
        <f>G16+G19+G22+G24+G27+G32+G30</f>
        <v>28230000</v>
      </c>
      <c r="H35" s="115">
        <f>H16+H19+H22+H24+H27+H32+H30</f>
        <v>11605378</v>
      </c>
      <c r="I35" s="115">
        <f>I16+I19+I22+I24+I27+I32+I30</f>
        <v>5588557.25</v>
      </c>
      <c r="J35" s="39">
        <f t="shared" si="7"/>
        <v>19.796518774353526</v>
      </c>
      <c r="K35" s="7" t="e">
        <f>K16+K19+#REF!+K22+K24+K27+K32+K30</f>
        <v>#REF!</v>
      </c>
      <c r="L35" s="115">
        <f>L16+L19+L22+L24+L27+L32+L30</f>
        <v>186200</v>
      </c>
      <c r="M35" s="115">
        <f>M16+M19+M22+M24+M27+M32+M30</f>
        <v>6200</v>
      </c>
      <c r="N35" s="115">
        <f>N16+N19+N22+N24+N27+N32+N30</f>
        <v>0</v>
      </c>
      <c r="O35" s="115">
        <f>O16+O19+O22+O24+O27+O32+O30</f>
        <v>0</v>
      </c>
      <c r="P35" s="39">
        <f>N35/L35*100</f>
        <v>0</v>
      </c>
      <c r="Q35" s="7" t="e">
        <f>Q16+Q19+#REF!+Q22+Q24+Q27+Q32+Q30</f>
        <v>#REF!</v>
      </c>
      <c r="R35" s="110">
        <f t="shared" si="2"/>
        <v>28416200</v>
      </c>
      <c r="S35" s="110">
        <f t="shared" si="3"/>
        <v>11611578</v>
      </c>
      <c r="T35" s="113">
        <f t="shared" si="4"/>
        <v>5588557.25</v>
      </c>
      <c r="U35" s="113">
        <f t="shared" si="5"/>
        <v>0</v>
      </c>
      <c r="V35" s="26">
        <f t="shared" si="6"/>
        <v>19.66680009994299</v>
      </c>
    </row>
    <row r="36" spans="3:22" s="17" customFormat="1" ht="45.75" customHeight="1">
      <c r="C36" s="18" t="s">
        <v>92</v>
      </c>
      <c r="D36" s="18"/>
      <c r="E36" s="18"/>
      <c r="F36" s="19" t="s">
        <v>369</v>
      </c>
      <c r="G36" s="110"/>
      <c r="H36" s="110"/>
      <c r="I36" s="110"/>
      <c r="J36" s="1"/>
      <c r="K36" s="1"/>
      <c r="L36" s="110"/>
      <c r="M36" s="110"/>
      <c r="N36" s="110"/>
      <c r="O36" s="124"/>
      <c r="P36" s="39"/>
      <c r="Q36" s="1"/>
      <c r="R36" s="110"/>
      <c r="S36" s="110"/>
      <c r="T36" s="113"/>
      <c r="U36" s="113"/>
      <c r="V36" s="26"/>
    </row>
    <row r="37" spans="3:22" s="20" customFormat="1" ht="32.25" customHeight="1">
      <c r="C37" s="21" t="s">
        <v>93</v>
      </c>
      <c r="D37" s="21"/>
      <c r="E37" s="21"/>
      <c r="F37" s="22" t="s">
        <v>370</v>
      </c>
      <c r="G37" s="111"/>
      <c r="H37" s="111"/>
      <c r="I37" s="111"/>
      <c r="J37" s="6"/>
      <c r="K37" s="6"/>
      <c r="L37" s="111"/>
      <c r="M37" s="111"/>
      <c r="N37" s="111"/>
      <c r="O37" s="125"/>
      <c r="P37" s="39"/>
      <c r="Q37" s="6"/>
      <c r="R37" s="110"/>
      <c r="S37" s="110"/>
      <c r="T37" s="113"/>
      <c r="U37" s="113"/>
      <c r="V37" s="26"/>
    </row>
    <row r="38" spans="3:22" s="17" customFormat="1" ht="21.75" customHeight="1">
      <c r="C38" s="18"/>
      <c r="D38" s="18"/>
      <c r="E38" s="18"/>
      <c r="F38" s="28" t="s">
        <v>475</v>
      </c>
      <c r="G38" s="111">
        <f>G48+G53+G74+G44</f>
        <v>55170868</v>
      </c>
      <c r="H38" s="111">
        <f>H48+H53+H74+H44</f>
        <v>12014052</v>
      </c>
      <c r="I38" s="111">
        <f>I48+I53+I74+I44</f>
        <v>11877310.379999999</v>
      </c>
      <c r="J38" s="40">
        <f>I38/G38*100</f>
        <v>21.52822823088446</v>
      </c>
      <c r="K38" s="6">
        <f>K48+K50+K51+K53+K54+K74</f>
        <v>0</v>
      </c>
      <c r="L38" s="111">
        <f>L48+L53+L74+L44</f>
        <v>0</v>
      </c>
      <c r="M38" s="111">
        <f>M48+M53+M74+M44</f>
        <v>0</v>
      </c>
      <c r="N38" s="111">
        <f>N48+N53+N74+N44</f>
        <v>0</v>
      </c>
      <c r="O38" s="111">
        <f>O48+O53+O74+O44</f>
        <v>0</v>
      </c>
      <c r="P38" s="39"/>
      <c r="Q38" s="6">
        <f>Q48+Q50+Q51+Q53+Q54+Q74</f>
        <v>0</v>
      </c>
      <c r="R38" s="110">
        <f aca="true" t="shared" si="8" ref="R38:R78">G38+L38</f>
        <v>55170868</v>
      </c>
      <c r="S38" s="110">
        <f t="shared" si="3"/>
        <v>12014052</v>
      </c>
      <c r="T38" s="113">
        <f t="shared" si="4"/>
        <v>11877310.379999999</v>
      </c>
      <c r="U38" s="113">
        <f t="shared" si="5"/>
        <v>0</v>
      </c>
      <c r="V38" s="26">
        <f t="shared" si="6"/>
        <v>21.52822823088446</v>
      </c>
    </row>
    <row r="39" spans="1:22" s="17" customFormat="1" ht="48" customHeight="1">
      <c r="A39" s="17">
        <v>2</v>
      </c>
      <c r="B39" s="17">
        <v>7</v>
      </c>
      <c r="C39" s="23" t="s">
        <v>94</v>
      </c>
      <c r="D39" s="23" t="s">
        <v>33</v>
      </c>
      <c r="E39" s="23" t="s">
        <v>30</v>
      </c>
      <c r="F39" s="24" t="s">
        <v>99</v>
      </c>
      <c r="G39" s="110">
        <v>3324500</v>
      </c>
      <c r="H39" s="110">
        <v>835570</v>
      </c>
      <c r="I39" s="110">
        <v>772506.72</v>
      </c>
      <c r="J39" s="25">
        <f>I39/G39*100</f>
        <v>23.23677906452098</v>
      </c>
      <c r="K39" s="1"/>
      <c r="L39" s="110"/>
      <c r="M39" s="110"/>
      <c r="N39" s="110"/>
      <c r="O39" s="124"/>
      <c r="P39" s="1"/>
      <c r="Q39" s="1"/>
      <c r="R39" s="110">
        <f t="shared" si="8"/>
        <v>3324500</v>
      </c>
      <c r="S39" s="110">
        <f t="shared" si="3"/>
        <v>835570</v>
      </c>
      <c r="T39" s="113">
        <f t="shared" si="4"/>
        <v>772506.72</v>
      </c>
      <c r="U39" s="113">
        <f t="shared" si="5"/>
        <v>0</v>
      </c>
      <c r="V39" s="26">
        <f t="shared" si="6"/>
        <v>23.23677906452098</v>
      </c>
    </row>
    <row r="40" spans="3:22" s="29" customFormat="1" ht="27" customHeight="1">
      <c r="C40" s="18"/>
      <c r="D40" s="18"/>
      <c r="E40" s="18"/>
      <c r="F40" s="38" t="s">
        <v>182</v>
      </c>
      <c r="G40" s="115">
        <f>G41+G47+G58+G62+G65+G70+G73</f>
        <v>190936348</v>
      </c>
      <c r="H40" s="115">
        <f>H41+H47+H58+H62+H65+H70+H73</f>
        <v>47993209</v>
      </c>
      <c r="I40" s="115">
        <f aca="true" t="shared" si="9" ref="I40:Q40">I41+I47+I58+I62+I65+I70+I73</f>
        <v>41092726.309999995</v>
      </c>
      <c r="J40" s="39">
        <f aca="true" t="shared" si="10" ref="J40:J75">I40/G40*100</f>
        <v>21.521688636256936</v>
      </c>
      <c r="K40" s="7">
        <f t="shared" si="9"/>
        <v>0</v>
      </c>
      <c r="L40" s="115">
        <f t="shared" si="9"/>
        <v>10048357.83</v>
      </c>
      <c r="M40" s="115">
        <f t="shared" si="9"/>
        <v>10048357.83</v>
      </c>
      <c r="N40" s="115">
        <f t="shared" si="9"/>
        <v>3111854.2299999995</v>
      </c>
      <c r="O40" s="130">
        <f t="shared" si="9"/>
        <v>1404999</v>
      </c>
      <c r="P40" s="39">
        <f>N40/L40*100</f>
        <v>30.968783980894514</v>
      </c>
      <c r="Q40" s="7">
        <f t="shared" si="9"/>
        <v>175900</v>
      </c>
      <c r="R40" s="110">
        <f t="shared" si="8"/>
        <v>200984705.83</v>
      </c>
      <c r="S40" s="110">
        <f t="shared" si="3"/>
        <v>58041566.83</v>
      </c>
      <c r="T40" s="113">
        <f t="shared" si="4"/>
        <v>44204580.53999999</v>
      </c>
      <c r="U40" s="113">
        <f t="shared" si="5"/>
        <v>1404999</v>
      </c>
      <c r="V40" s="26">
        <f t="shared" si="6"/>
        <v>21.994002159243795</v>
      </c>
    </row>
    <row r="41" spans="3:22" s="17" customFormat="1" ht="27.75" customHeight="1">
      <c r="C41" s="23" t="s">
        <v>115</v>
      </c>
      <c r="D41" s="23" t="s">
        <v>34</v>
      </c>
      <c r="E41" s="23" t="s">
        <v>35</v>
      </c>
      <c r="F41" s="41" t="s">
        <v>116</v>
      </c>
      <c r="G41" s="114">
        <f>SUM(G42:G46)</f>
        <v>66338495</v>
      </c>
      <c r="H41" s="114">
        <f>SUM(H42:H46)</f>
        <v>17074689</v>
      </c>
      <c r="I41" s="114">
        <f>SUM(I42:I46)</f>
        <v>13856544.66</v>
      </c>
      <c r="J41" s="25">
        <f t="shared" si="10"/>
        <v>20.8876379544034</v>
      </c>
      <c r="K41" s="5">
        <f>SUM(K42:K46)</f>
        <v>0</v>
      </c>
      <c r="L41" s="114">
        <f>SUM(L42:L46)</f>
        <v>4772279.43</v>
      </c>
      <c r="M41" s="114">
        <f>SUM(M42:M46)</f>
        <v>4772279.43</v>
      </c>
      <c r="N41" s="114">
        <f>SUM(N42:N46)</f>
        <v>855876.45</v>
      </c>
      <c r="O41" s="126">
        <f>SUM(O42:O46)</f>
        <v>0</v>
      </c>
      <c r="P41" s="25">
        <f aca="true" t="shared" si="11" ref="P41:P78">N41/L41*100</f>
        <v>17.934332273581894</v>
      </c>
      <c r="Q41" s="5">
        <f>SUM(Q42:Q46)</f>
        <v>0</v>
      </c>
      <c r="R41" s="110">
        <f t="shared" si="8"/>
        <v>71110774.43</v>
      </c>
      <c r="S41" s="110">
        <f t="shared" si="3"/>
        <v>21846968.43</v>
      </c>
      <c r="T41" s="113">
        <f t="shared" si="4"/>
        <v>14712421.11</v>
      </c>
      <c r="U41" s="113">
        <f t="shared" si="5"/>
        <v>0</v>
      </c>
      <c r="V41" s="26">
        <f t="shared" si="6"/>
        <v>20.68944014170821</v>
      </c>
    </row>
    <row r="42" spans="1:22" s="20" customFormat="1" ht="19.5" customHeight="1">
      <c r="A42" s="20">
        <v>1</v>
      </c>
      <c r="B42" s="20">
        <v>8</v>
      </c>
      <c r="C42" s="27"/>
      <c r="D42" s="27"/>
      <c r="E42" s="27"/>
      <c r="F42" s="28" t="s">
        <v>27</v>
      </c>
      <c r="G42" s="110">
        <v>66122945</v>
      </c>
      <c r="H42" s="116">
        <v>16873624</v>
      </c>
      <c r="I42" s="116">
        <v>13852673.46</v>
      </c>
      <c r="J42" s="25">
        <f t="shared" si="10"/>
        <v>20.949873693617246</v>
      </c>
      <c r="K42" s="1"/>
      <c r="L42" s="110">
        <v>4772279.43</v>
      </c>
      <c r="M42" s="110">
        <v>4772279.43</v>
      </c>
      <c r="N42" s="114">
        <v>855876.45</v>
      </c>
      <c r="O42" s="125"/>
      <c r="P42" s="25">
        <f t="shared" si="11"/>
        <v>17.934332273581894</v>
      </c>
      <c r="Q42" s="36"/>
      <c r="R42" s="110">
        <f t="shared" si="8"/>
        <v>70895224.43</v>
      </c>
      <c r="S42" s="110">
        <f t="shared" si="3"/>
        <v>21645903.43</v>
      </c>
      <c r="T42" s="113">
        <f t="shared" si="4"/>
        <v>14708549.91</v>
      </c>
      <c r="U42" s="113">
        <f t="shared" si="5"/>
        <v>0</v>
      </c>
      <c r="V42" s="26">
        <f t="shared" si="6"/>
        <v>20.746883909681134</v>
      </c>
    </row>
    <row r="43" spans="3:22" s="20" customFormat="1" ht="56.25" customHeight="1" hidden="1">
      <c r="C43" s="27"/>
      <c r="D43" s="27"/>
      <c r="E43" s="27"/>
      <c r="F43" s="28" t="s">
        <v>451</v>
      </c>
      <c r="G43" s="110"/>
      <c r="H43" s="116"/>
      <c r="I43" s="116"/>
      <c r="J43" s="25" t="e">
        <f t="shared" si="10"/>
        <v>#DIV/0!</v>
      </c>
      <c r="K43" s="1"/>
      <c r="L43" s="110"/>
      <c r="M43" s="110"/>
      <c r="N43" s="114"/>
      <c r="O43" s="125">
        <f>N43</f>
        <v>0</v>
      </c>
      <c r="P43" s="25" t="e">
        <f>N43/L43*100</f>
        <v>#DIV/0!</v>
      </c>
      <c r="Q43" s="36"/>
      <c r="R43" s="110">
        <f t="shared" si="8"/>
        <v>0</v>
      </c>
      <c r="S43" s="110">
        <f>H43+M43</f>
        <v>0</v>
      </c>
      <c r="T43" s="113">
        <f>I43+N43</f>
        <v>0</v>
      </c>
      <c r="U43" s="113">
        <f>O43</f>
        <v>0</v>
      </c>
      <c r="V43" s="26" t="e">
        <f>T43/R43*100</f>
        <v>#DIV/0!</v>
      </c>
    </row>
    <row r="44" spans="3:22" s="20" customFormat="1" ht="57.75" customHeight="1">
      <c r="C44" s="27"/>
      <c r="D44" s="27"/>
      <c r="E44" s="27"/>
      <c r="F44" s="28" t="s">
        <v>423</v>
      </c>
      <c r="G44" s="110">
        <v>22170</v>
      </c>
      <c r="H44" s="116">
        <v>12185</v>
      </c>
      <c r="I44" s="116">
        <v>3871.2</v>
      </c>
      <c r="J44" s="25">
        <f t="shared" si="10"/>
        <v>17.46143437077131</v>
      </c>
      <c r="K44" s="1"/>
      <c r="L44" s="110"/>
      <c r="M44" s="110"/>
      <c r="N44" s="114"/>
      <c r="O44" s="125"/>
      <c r="P44" s="25"/>
      <c r="Q44" s="36"/>
      <c r="R44" s="110">
        <f t="shared" si="8"/>
        <v>22170</v>
      </c>
      <c r="S44" s="110">
        <f t="shared" si="3"/>
        <v>12185</v>
      </c>
      <c r="T44" s="113">
        <f t="shared" si="4"/>
        <v>3871.2</v>
      </c>
      <c r="U44" s="113">
        <f t="shared" si="5"/>
        <v>0</v>
      </c>
      <c r="V44" s="26">
        <f t="shared" si="6"/>
        <v>17.46143437077131</v>
      </c>
    </row>
    <row r="45" spans="3:22" s="20" customFormat="1" ht="46.5">
      <c r="C45" s="27"/>
      <c r="D45" s="27"/>
      <c r="E45" s="27"/>
      <c r="F45" s="28" t="s">
        <v>310</v>
      </c>
      <c r="G45" s="110">
        <v>159000</v>
      </c>
      <c r="H45" s="116">
        <v>159000</v>
      </c>
      <c r="I45" s="116"/>
      <c r="J45" s="25">
        <f t="shared" si="10"/>
        <v>0</v>
      </c>
      <c r="K45" s="1"/>
      <c r="L45" s="110"/>
      <c r="M45" s="110"/>
      <c r="N45" s="114"/>
      <c r="O45" s="125"/>
      <c r="P45" s="25"/>
      <c r="Q45" s="36"/>
      <c r="R45" s="110">
        <f>G45+L45</f>
        <v>159000</v>
      </c>
      <c r="S45" s="110">
        <f>H45+M45</f>
        <v>159000</v>
      </c>
      <c r="T45" s="113">
        <f>I45+N45</f>
        <v>0</v>
      </c>
      <c r="U45" s="113">
        <f>O45</f>
        <v>0</v>
      </c>
      <c r="V45" s="26">
        <f>T45/R45*100</f>
        <v>0</v>
      </c>
    </row>
    <row r="46" spans="3:22" s="20" customFormat="1" ht="39.75" customHeight="1">
      <c r="C46" s="27"/>
      <c r="D46" s="27"/>
      <c r="E46" s="27"/>
      <c r="F46" s="28" t="s">
        <v>312</v>
      </c>
      <c r="G46" s="110">
        <v>34380</v>
      </c>
      <c r="H46" s="116">
        <v>29880</v>
      </c>
      <c r="I46" s="116"/>
      <c r="J46" s="25">
        <f t="shared" si="10"/>
        <v>0</v>
      </c>
      <c r="K46" s="1"/>
      <c r="L46" s="110"/>
      <c r="M46" s="110"/>
      <c r="N46" s="114"/>
      <c r="O46" s="125"/>
      <c r="P46" s="25"/>
      <c r="Q46" s="36"/>
      <c r="R46" s="110">
        <f t="shared" si="8"/>
        <v>34380</v>
      </c>
      <c r="S46" s="110">
        <f t="shared" si="3"/>
        <v>29880</v>
      </c>
      <c r="T46" s="113">
        <f t="shared" si="4"/>
        <v>0</v>
      </c>
      <c r="U46" s="113">
        <f t="shared" si="5"/>
        <v>0</v>
      </c>
      <c r="V46" s="26">
        <f t="shared" si="6"/>
        <v>0</v>
      </c>
    </row>
    <row r="47" spans="1:22" s="17" customFormat="1" ht="78">
      <c r="A47" s="17">
        <v>2</v>
      </c>
      <c r="B47" s="17">
        <v>9</v>
      </c>
      <c r="C47" s="23" t="s">
        <v>117</v>
      </c>
      <c r="D47" s="23" t="s">
        <v>36</v>
      </c>
      <c r="E47" s="23" t="s">
        <v>37</v>
      </c>
      <c r="F47" s="24" t="s">
        <v>371</v>
      </c>
      <c r="G47" s="114">
        <f>SUM(G48:G57)</f>
        <v>102987922</v>
      </c>
      <c r="H47" s="114">
        <f>SUM(H48:H57)</f>
        <v>25373801</v>
      </c>
      <c r="I47" s="114">
        <f aca="true" t="shared" si="12" ref="I47:Q47">SUM(I48:I57)</f>
        <v>22357910.939999998</v>
      </c>
      <c r="J47" s="25">
        <f t="shared" si="10"/>
        <v>21.709255324134023</v>
      </c>
      <c r="K47" s="5">
        <f t="shared" si="12"/>
        <v>0</v>
      </c>
      <c r="L47" s="114">
        <f>SUM(L48:L57)</f>
        <v>3854283.4</v>
      </c>
      <c r="M47" s="114">
        <f t="shared" si="12"/>
        <v>3854283.4</v>
      </c>
      <c r="N47" s="114">
        <f>SUM(N48:N57)</f>
        <v>854899.35</v>
      </c>
      <c r="O47" s="126">
        <f t="shared" si="12"/>
        <v>12999</v>
      </c>
      <c r="P47" s="25">
        <f t="shared" si="11"/>
        <v>22.18050053091581</v>
      </c>
      <c r="Q47" s="5">
        <f t="shared" si="12"/>
        <v>175900</v>
      </c>
      <c r="R47" s="110">
        <f t="shared" si="8"/>
        <v>106842205.4</v>
      </c>
      <c r="S47" s="110">
        <f t="shared" si="3"/>
        <v>29228084.4</v>
      </c>
      <c r="T47" s="113">
        <f t="shared" si="4"/>
        <v>23212810.29</v>
      </c>
      <c r="U47" s="113">
        <f t="shared" si="5"/>
        <v>12999</v>
      </c>
      <c r="V47" s="26">
        <f t="shared" si="6"/>
        <v>21.72625527814123</v>
      </c>
    </row>
    <row r="48" spans="3:22" s="20" customFormat="1" ht="25.5" customHeight="1">
      <c r="C48" s="27"/>
      <c r="D48" s="27"/>
      <c r="E48" s="27"/>
      <c r="F48" s="31" t="s">
        <v>424</v>
      </c>
      <c r="G48" s="110">
        <v>53880000</v>
      </c>
      <c r="H48" s="110">
        <v>11713500</v>
      </c>
      <c r="I48" s="110">
        <v>11625716.78</v>
      </c>
      <c r="J48" s="25">
        <f t="shared" si="10"/>
        <v>21.577054157386787</v>
      </c>
      <c r="K48" s="6"/>
      <c r="L48" s="110"/>
      <c r="M48" s="111"/>
      <c r="N48" s="119"/>
      <c r="O48" s="129"/>
      <c r="P48" s="25"/>
      <c r="Q48" s="36"/>
      <c r="R48" s="110">
        <f t="shared" si="8"/>
        <v>53880000</v>
      </c>
      <c r="S48" s="110">
        <f t="shared" si="3"/>
        <v>11713500</v>
      </c>
      <c r="T48" s="113">
        <f t="shared" si="4"/>
        <v>11625716.78</v>
      </c>
      <c r="U48" s="113">
        <f t="shared" si="5"/>
        <v>0</v>
      </c>
      <c r="V48" s="26">
        <f t="shared" si="6"/>
        <v>21.577054157386787</v>
      </c>
    </row>
    <row r="49" spans="3:22" s="20" customFormat="1" ht="26.25" customHeight="1">
      <c r="C49" s="27"/>
      <c r="D49" s="27"/>
      <c r="E49" s="27"/>
      <c r="F49" s="31" t="s">
        <v>291</v>
      </c>
      <c r="G49" s="110">
        <v>48874095</v>
      </c>
      <c r="H49" s="110">
        <v>13447643</v>
      </c>
      <c r="I49" s="110">
        <v>10726439.67</v>
      </c>
      <c r="J49" s="25">
        <f t="shared" si="10"/>
        <v>21.947086017654136</v>
      </c>
      <c r="K49" s="6"/>
      <c r="L49" s="110">
        <f>3809218.4+32065</f>
        <v>3841283.4</v>
      </c>
      <c r="M49" s="110">
        <f>3809218.4+32065</f>
        <v>3841283.4</v>
      </c>
      <c r="N49" s="114">
        <f>809835.35+32065</f>
        <v>841900.35</v>
      </c>
      <c r="O49" s="126"/>
      <c r="P49" s="25">
        <f t="shared" si="11"/>
        <v>21.917163154376997</v>
      </c>
      <c r="Q49" s="5">
        <v>175900</v>
      </c>
      <c r="R49" s="110">
        <f t="shared" si="8"/>
        <v>52715378.4</v>
      </c>
      <c r="S49" s="110">
        <f t="shared" si="3"/>
        <v>17288926.4</v>
      </c>
      <c r="T49" s="113">
        <f t="shared" si="4"/>
        <v>11568340.02</v>
      </c>
      <c r="U49" s="113">
        <f t="shared" si="5"/>
        <v>0</v>
      </c>
      <c r="V49" s="26">
        <f t="shared" si="6"/>
        <v>21.94490558755052</v>
      </c>
    </row>
    <row r="50" spans="3:22" s="20" customFormat="1" ht="28.5" customHeight="1" hidden="1">
      <c r="C50" s="27"/>
      <c r="D50" s="27"/>
      <c r="E50" s="27"/>
      <c r="F50" s="94" t="s">
        <v>453</v>
      </c>
      <c r="G50" s="110"/>
      <c r="H50" s="111"/>
      <c r="I50" s="110"/>
      <c r="J50" s="25" t="e">
        <f t="shared" si="10"/>
        <v>#DIV/0!</v>
      </c>
      <c r="K50" s="6"/>
      <c r="L50" s="110"/>
      <c r="M50" s="110"/>
      <c r="N50" s="119"/>
      <c r="O50" s="129"/>
      <c r="P50" s="25" t="e">
        <f t="shared" si="11"/>
        <v>#DIV/0!</v>
      </c>
      <c r="Q50" s="36"/>
      <c r="R50" s="110">
        <f t="shared" si="8"/>
        <v>0</v>
      </c>
      <c r="S50" s="110">
        <f t="shared" si="3"/>
        <v>0</v>
      </c>
      <c r="T50" s="113">
        <f t="shared" si="4"/>
        <v>0</v>
      </c>
      <c r="U50" s="113">
        <f t="shared" si="5"/>
        <v>0</v>
      </c>
      <c r="V50" s="26" t="e">
        <f t="shared" si="6"/>
        <v>#DIV/0!</v>
      </c>
    </row>
    <row r="51" spans="3:22" s="20" customFormat="1" ht="46.5" hidden="1">
      <c r="C51" s="27"/>
      <c r="D51" s="27"/>
      <c r="E51" s="27"/>
      <c r="F51" s="62" t="s">
        <v>452</v>
      </c>
      <c r="G51" s="110"/>
      <c r="H51" s="111"/>
      <c r="I51" s="110"/>
      <c r="J51" s="25" t="e">
        <f t="shared" si="10"/>
        <v>#DIV/0!</v>
      </c>
      <c r="K51" s="6"/>
      <c r="L51" s="111"/>
      <c r="M51" s="111"/>
      <c r="N51" s="119"/>
      <c r="O51" s="129"/>
      <c r="P51" s="25" t="e">
        <f t="shared" si="11"/>
        <v>#DIV/0!</v>
      </c>
      <c r="Q51" s="36"/>
      <c r="R51" s="110">
        <f t="shared" si="8"/>
        <v>0</v>
      </c>
      <c r="S51" s="110">
        <f t="shared" si="3"/>
        <v>0</v>
      </c>
      <c r="T51" s="113">
        <f t="shared" si="4"/>
        <v>0</v>
      </c>
      <c r="U51" s="113">
        <f t="shared" si="5"/>
        <v>0</v>
      </c>
      <c r="V51" s="26" t="e">
        <f t="shared" si="6"/>
        <v>#DIV/0!</v>
      </c>
    </row>
    <row r="52" spans="3:22" s="20" customFormat="1" ht="62.25" hidden="1">
      <c r="C52" s="27"/>
      <c r="D52" s="27"/>
      <c r="E52" s="27"/>
      <c r="F52" s="31" t="s">
        <v>351</v>
      </c>
      <c r="G52" s="110">
        <f aca="true" t="shared" si="13" ref="G52:G57">H52+K52</f>
        <v>0</v>
      </c>
      <c r="H52" s="111">
        <v>0</v>
      </c>
      <c r="I52" s="111"/>
      <c r="J52" s="25" t="e">
        <f t="shared" si="10"/>
        <v>#DIV/0!</v>
      </c>
      <c r="K52" s="6"/>
      <c r="L52" s="111">
        <f>N52+Q52</f>
        <v>0</v>
      </c>
      <c r="M52" s="111"/>
      <c r="N52" s="119"/>
      <c r="O52" s="129">
        <f>N52</f>
        <v>0</v>
      </c>
      <c r="P52" s="25" t="e">
        <f t="shared" si="11"/>
        <v>#DIV/0!</v>
      </c>
      <c r="Q52" s="36"/>
      <c r="R52" s="110">
        <f t="shared" si="8"/>
        <v>0</v>
      </c>
      <c r="S52" s="110">
        <f t="shared" si="3"/>
        <v>0</v>
      </c>
      <c r="T52" s="113">
        <f t="shared" si="4"/>
        <v>0</v>
      </c>
      <c r="U52" s="113">
        <f t="shared" si="5"/>
        <v>0</v>
      </c>
      <c r="V52" s="26" t="e">
        <f t="shared" si="6"/>
        <v>#DIV/0!</v>
      </c>
    </row>
    <row r="53" spans="3:22" s="20" customFormat="1" ht="54" customHeight="1">
      <c r="C53" s="27"/>
      <c r="D53" s="27"/>
      <c r="E53" s="27"/>
      <c r="F53" s="31" t="s">
        <v>425</v>
      </c>
      <c r="G53" s="110">
        <v>32327</v>
      </c>
      <c r="H53" s="110">
        <v>16158</v>
      </c>
      <c r="I53" s="110">
        <v>5754.49</v>
      </c>
      <c r="J53" s="25">
        <f t="shared" si="10"/>
        <v>17.80087852259721</v>
      </c>
      <c r="K53" s="6"/>
      <c r="L53" s="110"/>
      <c r="M53" s="110"/>
      <c r="N53" s="119"/>
      <c r="O53" s="129">
        <f>N53</f>
        <v>0</v>
      </c>
      <c r="P53" s="25"/>
      <c r="Q53" s="36"/>
      <c r="R53" s="110">
        <f t="shared" si="8"/>
        <v>32327</v>
      </c>
      <c r="S53" s="110">
        <f t="shared" si="3"/>
        <v>16158</v>
      </c>
      <c r="T53" s="113">
        <f t="shared" si="4"/>
        <v>5754.49</v>
      </c>
      <c r="U53" s="113">
        <f t="shared" si="5"/>
        <v>0</v>
      </c>
      <c r="V53" s="26">
        <f t="shared" si="6"/>
        <v>17.80087852259721</v>
      </c>
    </row>
    <row r="54" spans="3:22" s="20" customFormat="1" ht="62.25" customHeight="1" hidden="1">
      <c r="C54" s="27"/>
      <c r="D54" s="27"/>
      <c r="E54" s="27"/>
      <c r="F54" s="31" t="s">
        <v>426</v>
      </c>
      <c r="G54" s="110">
        <f t="shared" si="13"/>
        <v>0</v>
      </c>
      <c r="H54" s="111"/>
      <c r="I54" s="111"/>
      <c r="J54" s="25" t="e">
        <f t="shared" si="10"/>
        <v>#DIV/0!</v>
      </c>
      <c r="K54" s="6"/>
      <c r="L54" s="110">
        <f>N54+Q54</f>
        <v>0</v>
      </c>
      <c r="M54" s="110"/>
      <c r="N54" s="119"/>
      <c r="O54" s="129">
        <f>N54</f>
        <v>0</v>
      </c>
      <c r="P54" s="25" t="e">
        <f t="shared" si="11"/>
        <v>#DIV/0!</v>
      </c>
      <c r="Q54" s="36"/>
      <c r="R54" s="110">
        <f t="shared" si="8"/>
        <v>0</v>
      </c>
      <c r="S54" s="110">
        <f t="shared" si="3"/>
        <v>0</v>
      </c>
      <c r="T54" s="113">
        <f t="shared" si="4"/>
        <v>0</v>
      </c>
      <c r="U54" s="113">
        <f t="shared" si="5"/>
        <v>0</v>
      </c>
      <c r="V54" s="26" t="e">
        <f t="shared" si="6"/>
        <v>#DIV/0!</v>
      </c>
    </row>
    <row r="55" spans="3:22" s="20" customFormat="1" ht="57" customHeight="1">
      <c r="C55" s="27"/>
      <c r="D55" s="27"/>
      <c r="E55" s="27"/>
      <c r="F55" s="28" t="s">
        <v>310</v>
      </c>
      <c r="G55" s="110">
        <v>146500</v>
      </c>
      <c r="H55" s="111">
        <v>146500</v>
      </c>
      <c r="I55" s="111"/>
      <c r="J55" s="25">
        <f t="shared" si="10"/>
        <v>0</v>
      </c>
      <c r="K55" s="6"/>
      <c r="L55" s="110"/>
      <c r="M55" s="110"/>
      <c r="N55" s="119"/>
      <c r="O55" s="129">
        <f>N55</f>
        <v>0</v>
      </c>
      <c r="P55" s="25"/>
      <c r="Q55" s="36"/>
      <c r="R55" s="110">
        <f t="shared" si="8"/>
        <v>146500</v>
      </c>
      <c r="S55" s="110">
        <f t="shared" si="3"/>
        <v>146500</v>
      </c>
      <c r="T55" s="113">
        <f t="shared" si="4"/>
        <v>0</v>
      </c>
      <c r="U55" s="113">
        <f t="shared" si="5"/>
        <v>0</v>
      </c>
      <c r="V55" s="26">
        <f t="shared" si="6"/>
        <v>0</v>
      </c>
    </row>
    <row r="56" spans="3:22" s="20" customFormat="1" ht="42.75" customHeight="1">
      <c r="C56" s="27"/>
      <c r="D56" s="27"/>
      <c r="E56" s="27"/>
      <c r="F56" s="31" t="s">
        <v>344</v>
      </c>
      <c r="G56" s="110">
        <v>55000</v>
      </c>
      <c r="H56" s="111">
        <v>50000</v>
      </c>
      <c r="I56" s="111"/>
      <c r="J56" s="25">
        <f t="shared" si="10"/>
        <v>0</v>
      </c>
      <c r="K56" s="6"/>
      <c r="L56" s="110">
        <v>13000</v>
      </c>
      <c r="M56" s="110">
        <v>13000</v>
      </c>
      <c r="N56" s="114">
        <v>12999</v>
      </c>
      <c r="O56" s="129">
        <f>N56</f>
        <v>12999</v>
      </c>
      <c r="P56" s="25">
        <f t="shared" si="11"/>
        <v>99.99230769230769</v>
      </c>
      <c r="Q56" s="5"/>
      <c r="R56" s="110">
        <f t="shared" si="8"/>
        <v>68000</v>
      </c>
      <c r="S56" s="110">
        <f t="shared" si="3"/>
        <v>63000</v>
      </c>
      <c r="T56" s="113">
        <f t="shared" si="4"/>
        <v>12999</v>
      </c>
      <c r="U56" s="113">
        <f t="shared" si="5"/>
        <v>12999</v>
      </c>
      <c r="V56" s="26">
        <f t="shared" si="6"/>
        <v>19.116176470588236</v>
      </c>
    </row>
    <row r="57" spans="3:22" s="20" customFormat="1" ht="59.25" customHeight="1" hidden="1">
      <c r="C57" s="27"/>
      <c r="D57" s="27"/>
      <c r="E57" s="27"/>
      <c r="F57" s="31" t="s">
        <v>13</v>
      </c>
      <c r="G57" s="110">
        <f t="shared" si="13"/>
        <v>0</v>
      </c>
      <c r="H57" s="111"/>
      <c r="I57" s="111"/>
      <c r="J57" s="25" t="e">
        <f t="shared" si="10"/>
        <v>#DIV/0!</v>
      </c>
      <c r="K57" s="6"/>
      <c r="L57" s="110">
        <f>N57+Q57</f>
        <v>0</v>
      </c>
      <c r="M57" s="110"/>
      <c r="N57" s="119"/>
      <c r="O57" s="129"/>
      <c r="P57" s="25" t="e">
        <f t="shared" si="11"/>
        <v>#DIV/0!</v>
      </c>
      <c r="Q57" s="36"/>
      <c r="R57" s="110">
        <f t="shared" si="8"/>
        <v>0</v>
      </c>
      <c r="S57" s="110">
        <f t="shared" si="3"/>
        <v>0</v>
      </c>
      <c r="T57" s="113">
        <f t="shared" si="4"/>
        <v>0</v>
      </c>
      <c r="U57" s="113">
        <f t="shared" si="5"/>
        <v>0</v>
      </c>
      <c r="V57" s="26" t="e">
        <f t="shared" si="6"/>
        <v>#DIV/0!</v>
      </c>
    </row>
    <row r="58" spans="1:22" s="17" customFormat="1" ht="49.5" customHeight="1">
      <c r="A58" s="17">
        <v>3</v>
      </c>
      <c r="B58" s="17">
        <v>10</v>
      </c>
      <c r="C58" s="42" t="s">
        <v>118</v>
      </c>
      <c r="D58" s="42" t="s">
        <v>38</v>
      </c>
      <c r="E58" s="42" t="s">
        <v>39</v>
      </c>
      <c r="F58" s="24" t="s">
        <v>2</v>
      </c>
      <c r="G58" s="110">
        <f>G59+G61+G60</f>
        <v>9830355</v>
      </c>
      <c r="H58" s="110">
        <f>H59+H61+H60</f>
        <v>2388704</v>
      </c>
      <c r="I58" s="110">
        <f>I59+I61+I60</f>
        <v>2116045.57</v>
      </c>
      <c r="J58" s="25">
        <f t="shared" si="10"/>
        <v>21.52562720267986</v>
      </c>
      <c r="K58" s="1">
        <f>K59+K61</f>
        <v>0</v>
      </c>
      <c r="L58" s="110">
        <f>L59+L61+L60</f>
        <v>24915</v>
      </c>
      <c r="M58" s="110">
        <f>M59+M61+M60</f>
        <v>24915</v>
      </c>
      <c r="N58" s="110">
        <f>N59+N61+N60</f>
        <v>4790</v>
      </c>
      <c r="O58" s="124">
        <f>O59+O61+O60</f>
        <v>0</v>
      </c>
      <c r="P58" s="25">
        <f t="shared" si="11"/>
        <v>19.225366245233793</v>
      </c>
      <c r="Q58" s="1">
        <f>Q59+Q61</f>
        <v>0</v>
      </c>
      <c r="R58" s="110">
        <f t="shared" si="8"/>
        <v>9855270</v>
      </c>
      <c r="S58" s="110">
        <f t="shared" si="3"/>
        <v>2413619</v>
      </c>
      <c r="T58" s="113">
        <f t="shared" si="4"/>
        <v>2120835.57</v>
      </c>
      <c r="U58" s="113">
        <f t="shared" si="5"/>
        <v>0</v>
      </c>
      <c r="V58" s="26">
        <f t="shared" si="6"/>
        <v>21.519811938181295</v>
      </c>
    </row>
    <row r="59" spans="3:22" s="17" customFormat="1" ht="15">
      <c r="C59" s="42"/>
      <c r="D59" s="42"/>
      <c r="E59" s="42"/>
      <c r="F59" s="31" t="s">
        <v>477</v>
      </c>
      <c r="G59" s="110">
        <v>9819355</v>
      </c>
      <c r="H59" s="116">
        <v>2377704</v>
      </c>
      <c r="I59" s="116">
        <v>2116045.57</v>
      </c>
      <c r="J59" s="25">
        <f t="shared" si="10"/>
        <v>21.54974099622633</v>
      </c>
      <c r="K59" s="1"/>
      <c r="L59" s="110">
        <v>24915</v>
      </c>
      <c r="M59" s="114">
        <v>24915</v>
      </c>
      <c r="N59" s="114">
        <v>4790</v>
      </c>
      <c r="O59" s="126"/>
      <c r="P59" s="25">
        <f t="shared" si="11"/>
        <v>19.225366245233793</v>
      </c>
      <c r="Q59" s="5"/>
      <c r="R59" s="110">
        <f t="shared" si="8"/>
        <v>9844270</v>
      </c>
      <c r="S59" s="110">
        <f t="shared" si="3"/>
        <v>2402619</v>
      </c>
      <c r="T59" s="113">
        <f t="shared" si="4"/>
        <v>2120835.57</v>
      </c>
      <c r="U59" s="113">
        <f t="shared" si="5"/>
        <v>0</v>
      </c>
      <c r="V59" s="26">
        <f t="shared" si="6"/>
        <v>21.543858203807897</v>
      </c>
    </row>
    <row r="60" spans="3:22" s="17" customFormat="1" ht="46.5">
      <c r="C60" s="42"/>
      <c r="D60" s="42"/>
      <c r="E60" s="42"/>
      <c r="F60" s="28" t="s">
        <v>310</v>
      </c>
      <c r="G60" s="110">
        <v>11000</v>
      </c>
      <c r="H60" s="116">
        <v>11000</v>
      </c>
      <c r="I60" s="116"/>
      <c r="J60" s="25"/>
      <c r="K60" s="1"/>
      <c r="L60" s="110"/>
      <c r="M60" s="114"/>
      <c r="N60" s="114"/>
      <c r="O60" s="126"/>
      <c r="P60" s="25"/>
      <c r="Q60" s="5"/>
      <c r="R60" s="110">
        <f t="shared" si="8"/>
        <v>11000</v>
      </c>
      <c r="S60" s="110">
        <f t="shared" si="3"/>
        <v>11000</v>
      </c>
      <c r="T60" s="113">
        <f t="shared" si="4"/>
        <v>0</v>
      </c>
      <c r="U60" s="113">
        <f t="shared" si="5"/>
        <v>0</v>
      </c>
      <c r="V60" s="26">
        <f t="shared" si="6"/>
        <v>0</v>
      </c>
    </row>
    <row r="61" spans="3:22" s="17" customFormat="1" ht="36" customHeight="1" hidden="1">
      <c r="C61" s="42"/>
      <c r="D61" s="42"/>
      <c r="E61" s="42"/>
      <c r="F61" s="31" t="s">
        <v>345</v>
      </c>
      <c r="G61" s="110"/>
      <c r="H61" s="116"/>
      <c r="I61" s="116"/>
      <c r="J61" s="25" t="e">
        <f t="shared" si="10"/>
        <v>#DIV/0!</v>
      </c>
      <c r="K61" s="1"/>
      <c r="L61" s="110"/>
      <c r="M61" s="114"/>
      <c r="N61" s="114"/>
      <c r="O61" s="126"/>
      <c r="P61" s="25"/>
      <c r="Q61" s="5"/>
      <c r="R61" s="110">
        <f t="shared" si="8"/>
        <v>0</v>
      </c>
      <c r="S61" s="110">
        <f t="shared" si="3"/>
        <v>0</v>
      </c>
      <c r="T61" s="113">
        <f t="shared" si="4"/>
        <v>0</v>
      </c>
      <c r="U61" s="113">
        <f t="shared" si="5"/>
        <v>0</v>
      </c>
      <c r="V61" s="26" t="e">
        <f t="shared" si="6"/>
        <v>#DIV/0!</v>
      </c>
    </row>
    <row r="62" spans="1:22" s="17" customFormat="1" ht="34.5" customHeight="1">
      <c r="A62" s="17">
        <v>4</v>
      </c>
      <c r="B62" s="17">
        <v>11</v>
      </c>
      <c r="C62" s="23" t="s">
        <v>121</v>
      </c>
      <c r="D62" s="23" t="s">
        <v>120</v>
      </c>
      <c r="E62" s="23" t="s">
        <v>40</v>
      </c>
      <c r="F62" s="24" t="s">
        <v>119</v>
      </c>
      <c r="G62" s="110">
        <v>1620340</v>
      </c>
      <c r="H62" s="114">
        <v>398912</v>
      </c>
      <c r="I62" s="114">
        <v>379258.62</v>
      </c>
      <c r="J62" s="25">
        <f t="shared" si="10"/>
        <v>23.40611353172791</v>
      </c>
      <c r="K62" s="5">
        <f>SUM(K63:K64)</f>
        <v>0</v>
      </c>
      <c r="L62" s="110"/>
      <c r="M62" s="114">
        <f>SUM(M63:M64)</f>
        <v>0</v>
      </c>
      <c r="N62" s="114">
        <f>SUM(N63:N64)</f>
        <v>0</v>
      </c>
      <c r="O62" s="126">
        <f>SUM(O63:O64)</f>
        <v>0</v>
      </c>
      <c r="P62" s="25"/>
      <c r="Q62" s="5">
        <f>SUM(Q63:Q64)</f>
        <v>0</v>
      </c>
      <c r="R62" s="110">
        <f t="shared" si="8"/>
        <v>1620340</v>
      </c>
      <c r="S62" s="110">
        <f t="shared" si="3"/>
        <v>398912</v>
      </c>
      <c r="T62" s="113">
        <f t="shared" si="4"/>
        <v>379258.62</v>
      </c>
      <c r="U62" s="113">
        <f t="shared" si="5"/>
        <v>0</v>
      </c>
      <c r="V62" s="26">
        <f t="shared" si="6"/>
        <v>23.40611353172791</v>
      </c>
    </row>
    <row r="63" spans="3:22" s="17" customFormat="1" ht="26.25" customHeight="1" hidden="1">
      <c r="C63" s="23"/>
      <c r="D63" s="23"/>
      <c r="E63" s="23"/>
      <c r="F63" s="31" t="s">
        <v>388</v>
      </c>
      <c r="G63" s="110"/>
      <c r="H63" s="111"/>
      <c r="I63" s="111"/>
      <c r="J63" s="25" t="e">
        <f t="shared" si="10"/>
        <v>#DIV/0!</v>
      </c>
      <c r="K63" s="1"/>
      <c r="L63" s="110"/>
      <c r="M63" s="110"/>
      <c r="N63" s="114"/>
      <c r="O63" s="126"/>
      <c r="P63" s="25" t="e">
        <f t="shared" si="11"/>
        <v>#DIV/0!</v>
      </c>
      <c r="Q63" s="5"/>
      <c r="R63" s="110">
        <f t="shared" si="8"/>
        <v>0</v>
      </c>
      <c r="S63" s="110">
        <f t="shared" si="3"/>
        <v>0</v>
      </c>
      <c r="T63" s="113">
        <f t="shared" si="4"/>
        <v>0</v>
      </c>
      <c r="U63" s="113">
        <f t="shared" si="5"/>
        <v>0</v>
      </c>
      <c r="V63" s="26" t="e">
        <f t="shared" si="6"/>
        <v>#DIV/0!</v>
      </c>
    </row>
    <row r="64" spans="3:22" s="17" customFormat="1" ht="38.25" customHeight="1" hidden="1">
      <c r="C64" s="23"/>
      <c r="D64" s="23"/>
      <c r="E64" s="23"/>
      <c r="F64" s="31" t="s">
        <v>344</v>
      </c>
      <c r="G64" s="110">
        <f>H64+K64</f>
        <v>0</v>
      </c>
      <c r="H64" s="110"/>
      <c r="I64" s="110"/>
      <c r="J64" s="25" t="e">
        <f t="shared" si="10"/>
        <v>#DIV/0!</v>
      </c>
      <c r="K64" s="1"/>
      <c r="L64" s="110">
        <f>N64+Q64</f>
        <v>0</v>
      </c>
      <c r="M64" s="110"/>
      <c r="N64" s="114"/>
      <c r="O64" s="126"/>
      <c r="P64" s="25" t="e">
        <f t="shared" si="11"/>
        <v>#DIV/0!</v>
      </c>
      <c r="Q64" s="36"/>
      <c r="R64" s="110">
        <f t="shared" si="8"/>
        <v>0</v>
      </c>
      <c r="S64" s="110">
        <f t="shared" si="3"/>
        <v>0</v>
      </c>
      <c r="T64" s="113">
        <f t="shared" si="4"/>
        <v>0</v>
      </c>
      <c r="U64" s="113">
        <f t="shared" si="5"/>
        <v>0</v>
      </c>
      <c r="V64" s="26" t="e">
        <f t="shared" si="6"/>
        <v>#DIV/0!</v>
      </c>
    </row>
    <row r="65" spans="3:22" s="17" customFormat="1" ht="44.25" customHeight="1">
      <c r="C65" s="23" t="s">
        <v>229</v>
      </c>
      <c r="D65" s="23" t="s">
        <v>230</v>
      </c>
      <c r="E65" s="23" t="s">
        <v>40</v>
      </c>
      <c r="F65" s="24" t="s">
        <v>372</v>
      </c>
      <c r="G65" s="114">
        <f>SUM(G66:G69)</f>
        <v>8609172</v>
      </c>
      <c r="H65" s="114">
        <f>SUM(H66:H69)</f>
        <v>2389319</v>
      </c>
      <c r="I65" s="114">
        <f>SUM(I66:I69)</f>
        <v>2075159.13</v>
      </c>
      <c r="J65" s="25">
        <f t="shared" si="10"/>
        <v>24.1040500758958</v>
      </c>
      <c r="K65" s="5">
        <f>SUM(K66:K68)</f>
        <v>0</v>
      </c>
      <c r="L65" s="114">
        <f>SUM(L66:L68)</f>
        <v>1396880</v>
      </c>
      <c r="M65" s="114">
        <f>SUM(M66:M68)</f>
        <v>1396880</v>
      </c>
      <c r="N65" s="114">
        <f>SUM(N66:N68)</f>
        <v>1396288.43</v>
      </c>
      <c r="O65" s="126">
        <f>SUM(O66:O68)</f>
        <v>1392000</v>
      </c>
      <c r="P65" s="25">
        <f t="shared" si="11"/>
        <v>99.9576506213848</v>
      </c>
      <c r="Q65" s="5">
        <f>SUM(Q66:Q68)</f>
        <v>0</v>
      </c>
      <c r="R65" s="110">
        <f t="shared" si="8"/>
        <v>10006052</v>
      </c>
      <c r="S65" s="110">
        <f t="shared" si="3"/>
        <v>3786199</v>
      </c>
      <c r="T65" s="113">
        <f t="shared" si="4"/>
        <v>3471447.5599999996</v>
      </c>
      <c r="U65" s="113">
        <f t="shared" si="5"/>
        <v>1392000</v>
      </c>
      <c r="V65" s="26">
        <f t="shared" si="6"/>
        <v>34.69347910644478</v>
      </c>
    </row>
    <row r="66" spans="3:22" s="20" customFormat="1" ht="30" customHeight="1">
      <c r="C66" s="27"/>
      <c r="D66" s="27"/>
      <c r="E66" s="27"/>
      <c r="F66" s="31" t="s">
        <v>346</v>
      </c>
      <c r="G66" s="110">
        <v>3132921</v>
      </c>
      <c r="H66" s="116">
        <v>838734</v>
      </c>
      <c r="I66" s="116">
        <v>773444.58</v>
      </c>
      <c r="J66" s="25">
        <f t="shared" si="10"/>
        <v>24.687650279084597</v>
      </c>
      <c r="K66" s="1"/>
      <c r="L66" s="110"/>
      <c r="M66" s="111"/>
      <c r="N66" s="119"/>
      <c r="O66" s="129">
        <f>N66</f>
        <v>0</v>
      </c>
      <c r="P66" s="25"/>
      <c r="Q66" s="36"/>
      <c r="R66" s="110">
        <f t="shared" si="8"/>
        <v>3132921</v>
      </c>
      <c r="S66" s="110">
        <f t="shared" si="3"/>
        <v>838734</v>
      </c>
      <c r="T66" s="113">
        <f t="shared" si="4"/>
        <v>773444.58</v>
      </c>
      <c r="U66" s="113">
        <f t="shared" si="5"/>
        <v>0</v>
      </c>
      <c r="V66" s="26">
        <f t="shared" si="6"/>
        <v>24.687650279084597</v>
      </c>
    </row>
    <row r="67" spans="1:22" s="20" customFormat="1" ht="21.75" customHeight="1">
      <c r="A67" s="20">
        <v>6</v>
      </c>
      <c r="B67" s="20">
        <v>13</v>
      </c>
      <c r="C67" s="27"/>
      <c r="D67" s="27"/>
      <c r="E67" s="27"/>
      <c r="F67" s="31" t="s">
        <v>347</v>
      </c>
      <c r="G67" s="110">
        <v>2604399</v>
      </c>
      <c r="H67" s="116">
        <v>802450</v>
      </c>
      <c r="I67" s="116">
        <v>712419.4</v>
      </c>
      <c r="J67" s="25">
        <f t="shared" si="10"/>
        <v>27.354464504094807</v>
      </c>
      <c r="K67" s="1"/>
      <c r="L67" s="110">
        <v>1392000</v>
      </c>
      <c r="M67" s="111">
        <v>1392000</v>
      </c>
      <c r="N67" s="119">
        <v>1392000</v>
      </c>
      <c r="O67" s="129">
        <f>N67</f>
        <v>1392000</v>
      </c>
      <c r="P67" s="25">
        <f t="shared" si="11"/>
        <v>100</v>
      </c>
      <c r="Q67" s="43"/>
      <c r="R67" s="110">
        <f t="shared" si="8"/>
        <v>3996399</v>
      </c>
      <c r="S67" s="110">
        <f t="shared" si="3"/>
        <v>2194450</v>
      </c>
      <c r="T67" s="113">
        <f t="shared" si="4"/>
        <v>2104419.4</v>
      </c>
      <c r="U67" s="113">
        <f t="shared" si="5"/>
        <v>1392000</v>
      </c>
      <c r="V67" s="26">
        <f t="shared" si="6"/>
        <v>52.65789026571171</v>
      </c>
    </row>
    <row r="68" spans="3:22" s="20" customFormat="1" ht="24" customHeight="1">
      <c r="C68" s="27"/>
      <c r="D68" s="27"/>
      <c r="E68" s="27"/>
      <c r="F68" s="31" t="s">
        <v>263</v>
      </c>
      <c r="G68" s="110">
        <v>2855352</v>
      </c>
      <c r="H68" s="116">
        <v>731635</v>
      </c>
      <c r="I68" s="116">
        <f>589275.15+20</f>
        <v>589295.15</v>
      </c>
      <c r="J68" s="25">
        <f t="shared" si="10"/>
        <v>20.638266315326447</v>
      </c>
      <c r="K68" s="1"/>
      <c r="L68" s="110">
        <v>4880</v>
      </c>
      <c r="M68" s="110">
        <v>4880</v>
      </c>
      <c r="N68" s="114">
        <v>4288.43</v>
      </c>
      <c r="O68" s="129"/>
      <c r="P68" s="25">
        <f t="shared" si="11"/>
        <v>87.87766393442624</v>
      </c>
      <c r="Q68" s="43"/>
      <c r="R68" s="110">
        <f t="shared" si="8"/>
        <v>2860232</v>
      </c>
      <c r="S68" s="110">
        <f t="shared" si="3"/>
        <v>736515</v>
      </c>
      <c r="T68" s="113">
        <f t="shared" si="4"/>
        <v>593583.5800000001</v>
      </c>
      <c r="U68" s="113">
        <f t="shared" si="5"/>
        <v>0</v>
      </c>
      <c r="V68" s="26">
        <f t="shared" si="6"/>
        <v>20.752987170271506</v>
      </c>
    </row>
    <row r="69" spans="3:22" s="20" customFormat="1" ht="46.5">
      <c r="C69" s="27"/>
      <c r="D69" s="27"/>
      <c r="E69" s="27"/>
      <c r="F69" s="28" t="s">
        <v>310</v>
      </c>
      <c r="G69" s="110">
        <v>16500</v>
      </c>
      <c r="H69" s="116">
        <v>16500</v>
      </c>
      <c r="I69" s="116"/>
      <c r="J69" s="25"/>
      <c r="K69" s="1"/>
      <c r="L69" s="110"/>
      <c r="M69" s="110"/>
      <c r="N69" s="114"/>
      <c r="O69" s="129"/>
      <c r="P69" s="25"/>
      <c r="Q69" s="43"/>
      <c r="R69" s="110">
        <f>G69+L69</f>
        <v>16500</v>
      </c>
      <c r="S69" s="110">
        <f>H69+M69</f>
        <v>16500</v>
      </c>
      <c r="T69" s="113">
        <f>I69+N69</f>
        <v>0</v>
      </c>
      <c r="U69" s="113">
        <f>O69</f>
        <v>0</v>
      </c>
      <c r="V69" s="26">
        <f>T69/R69*100</f>
        <v>0</v>
      </c>
    </row>
    <row r="70" spans="1:22" s="17" customFormat="1" ht="23.25" customHeight="1">
      <c r="A70" s="17">
        <v>7</v>
      </c>
      <c r="B70" s="17">
        <v>14</v>
      </c>
      <c r="C70" s="23" t="s">
        <v>231</v>
      </c>
      <c r="D70" s="23" t="s">
        <v>232</v>
      </c>
      <c r="E70" s="23" t="s">
        <v>40</v>
      </c>
      <c r="F70" s="24" t="s">
        <v>233</v>
      </c>
      <c r="G70" s="114">
        <f>SUM(G71:G72)</f>
        <v>244760</v>
      </c>
      <c r="H70" s="114">
        <f>SUM(H71:H72)</f>
        <v>60420</v>
      </c>
      <c r="I70" s="114">
        <f>SUM(I71:I72)</f>
        <v>37810</v>
      </c>
      <c r="J70" s="25">
        <f t="shared" si="10"/>
        <v>15.447785585880045</v>
      </c>
      <c r="K70" s="5">
        <f>SUM(K71:K75)</f>
        <v>0</v>
      </c>
      <c r="L70" s="114">
        <f>SUM(L71:L72)</f>
        <v>0</v>
      </c>
      <c r="M70" s="114">
        <f>SUM(M71:M72)</f>
        <v>0</v>
      </c>
      <c r="N70" s="114">
        <f>SUM(N71:N72)</f>
        <v>0</v>
      </c>
      <c r="O70" s="126">
        <f>SUM(O71:O72)</f>
        <v>0</v>
      </c>
      <c r="P70" s="25"/>
      <c r="Q70" s="5">
        <f>SUM(Q71:Q75)</f>
        <v>0</v>
      </c>
      <c r="R70" s="110">
        <f t="shared" si="8"/>
        <v>244760</v>
      </c>
      <c r="S70" s="110">
        <f t="shared" si="3"/>
        <v>60420</v>
      </c>
      <c r="T70" s="113">
        <f t="shared" si="4"/>
        <v>37810</v>
      </c>
      <c r="U70" s="113">
        <f t="shared" si="5"/>
        <v>0</v>
      </c>
      <c r="V70" s="26">
        <f t="shared" si="6"/>
        <v>15.447785585880045</v>
      </c>
    </row>
    <row r="71" spans="3:22" s="20" customFormat="1" ht="36" customHeight="1">
      <c r="C71" s="27"/>
      <c r="D71" s="27"/>
      <c r="E71" s="27"/>
      <c r="F71" s="31" t="s">
        <v>284</v>
      </c>
      <c r="G71" s="110">
        <v>10860</v>
      </c>
      <c r="H71" s="116">
        <v>3620</v>
      </c>
      <c r="I71" s="116">
        <v>1810</v>
      </c>
      <c r="J71" s="25">
        <f t="shared" si="10"/>
        <v>16.666666666666664</v>
      </c>
      <c r="K71" s="8"/>
      <c r="L71" s="110"/>
      <c r="M71" s="111"/>
      <c r="N71" s="131"/>
      <c r="O71" s="132"/>
      <c r="P71" s="25"/>
      <c r="Q71" s="44"/>
      <c r="R71" s="110">
        <f t="shared" si="8"/>
        <v>10860</v>
      </c>
      <c r="S71" s="110">
        <f t="shared" si="3"/>
        <v>3620</v>
      </c>
      <c r="T71" s="113">
        <f t="shared" si="4"/>
        <v>1810</v>
      </c>
      <c r="U71" s="113">
        <f t="shared" si="5"/>
        <v>0</v>
      </c>
      <c r="V71" s="26">
        <f t="shared" si="6"/>
        <v>16.666666666666664</v>
      </c>
    </row>
    <row r="72" spans="3:22" s="20" customFormat="1" ht="36" customHeight="1">
      <c r="C72" s="27"/>
      <c r="D72" s="27"/>
      <c r="E72" s="27"/>
      <c r="F72" s="31" t="s">
        <v>398</v>
      </c>
      <c r="G72" s="110">
        <v>233900</v>
      </c>
      <c r="H72" s="116">
        <v>56800</v>
      </c>
      <c r="I72" s="116">
        <v>36000</v>
      </c>
      <c r="J72" s="25">
        <f t="shared" si="10"/>
        <v>15.391192817443352</v>
      </c>
      <c r="K72" s="8"/>
      <c r="L72" s="110"/>
      <c r="M72" s="111"/>
      <c r="N72" s="131"/>
      <c r="O72" s="132"/>
      <c r="P72" s="25"/>
      <c r="Q72" s="44"/>
      <c r="R72" s="110">
        <f t="shared" si="8"/>
        <v>233900</v>
      </c>
      <c r="S72" s="110">
        <f t="shared" si="3"/>
        <v>56800</v>
      </c>
      <c r="T72" s="113">
        <f t="shared" si="4"/>
        <v>36000</v>
      </c>
      <c r="U72" s="113">
        <f t="shared" si="5"/>
        <v>0</v>
      </c>
      <c r="V72" s="26">
        <f t="shared" si="6"/>
        <v>15.391192817443352</v>
      </c>
    </row>
    <row r="73" spans="3:22" s="20" customFormat="1" ht="36" customHeight="1">
      <c r="C73" s="23" t="s">
        <v>392</v>
      </c>
      <c r="D73" s="23" t="s">
        <v>391</v>
      </c>
      <c r="E73" s="23" t="s">
        <v>40</v>
      </c>
      <c r="F73" s="24" t="s">
        <v>456</v>
      </c>
      <c r="G73" s="116">
        <f>SUM(G74:G75)</f>
        <v>1305304</v>
      </c>
      <c r="H73" s="116">
        <f>SUM(H74:H75)</f>
        <v>307364</v>
      </c>
      <c r="I73" s="116">
        <f>SUM(I74:I75)</f>
        <v>269997.39</v>
      </c>
      <c r="J73" s="25">
        <f t="shared" si="10"/>
        <v>20.68463668233607</v>
      </c>
      <c r="K73" s="8">
        <f>K74</f>
        <v>0</v>
      </c>
      <c r="L73" s="116">
        <f>SUM(L74:L75)</f>
        <v>0</v>
      </c>
      <c r="M73" s="116">
        <f>SUM(M74:M75)</f>
        <v>0</v>
      </c>
      <c r="N73" s="116">
        <f>SUM(N74:N75)</f>
        <v>0</v>
      </c>
      <c r="O73" s="133">
        <f>SUM(O74:O75)</f>
        <v>0</v>
      </c>
      <c r="P73" s="25"/>
      <c r="Q73" s="8">
        <f>Q74</f>
        <v>0</v>
      </c>
      <c r="R73" s="110">
        <f t="shared" si="8"/>
        <v>1305304</v>
      </c>
      <c r="S73" s="110">
        <f t="shared" si="3"/>
        <v>307364</v>
      </c>
      <c r="T73" s="113">
        <f t="shared" si="4"/>
        <v>269997.39</v>
      </c>
      <c r="U73" s="113">
        <f t="shared" si="5"/>
        <v>0</v>
      </c>
      <c r="V73" s="26">
        <f t="shared" si="6"/>
        <v>20.68463668233607</v>
      </c>
    </row>
    <row r="74" spans="3:22" s="20" customFormat="1" ht="36" customHeight="1">
      <c r="C74" s="27"/>
      <c r="D74" s="27"/>
      <c r="E74" s="27"/>
      <c r="F74" s="31" t="s">
        <v>427</v>
      </c>
      <c r="G74" s="110">
        <v>1236371</v>
      </c>
      <c r="H74" s="116">
        <v>272209</v>
      </c>
      <c r="I74" s="116">
        <v>241967.91</v>
      </c>
      <c r="J74" s="25">
        <f t="shared" si="10"/>
        <v>19.570817335573224</v>
      </c>
      <c r="K74" s="8"/>
      <c r="L74" s="110"/>
      <c r="M74" s="111"/>
      <c r="N74" s="131"/>
      <c r="O74" s="132"/>
      <c r="P74" s="25"/>
      <c r="Q74" s="44"/>
      <c r="R74" s="110">
        <f t="shared" si="8"/>
        <v>1236371</v>
      </c>
      <c r="S74" s="110">
        <f t="shared" si="3"/>
        <v>272209</v>
      </c>
      <c r="T74" s="113">
        <f t="shared" si="4"/>
        <v>241967.91</v>
      </c>
      <c r="U74" s="113">
        <f t="shared" si="5"/>
        <v>0</v>
      </c>
      <c r="V74" s="26">
        <f t="shared" si="6"/>
        <v>19.570817335573224</v>
      </c>
    </row>
    <row r="75" spans="3:22" s="20" customFormat="1" ht="28.5" customHeight="1">
      <c r="C75" s="27"/>
      <c r="D75" s="27"/>
      <c r="E75" s="27"/>
      <c r="F75" s="31" t="s">
        <v>397</v>
      </c>
      <c r="G75" s="110">
        <v>68933</v>
      </c>
      <c r="H75" s="116">
        <v>35155</v>
      </c>
      <c r="I75" s="116">
        <v>28029.48</v>
      </c>
      <c r="J75" s="25">
        <f t="shared" si="10"/>
        <v>40.6619180943815</v>
      </c>
      <c r="K75" s="8"/>
      <c r="L75" s="110"/>
      <c r="M75" s="110"/>
      <c r="N75" s="116"/>
      <c r="O75" s="132"/>
      <c r="P75" s="25"/>
      <c r="Q75" s="44"/>
      <c r="R75" s="110">
        <f t="shared" si="8"/>
        <v>68933</v>
      </c>
      <c r="S75" s="110">
        <f t="shared" si="3"/>
        <v>35155</v>
      </c>
      <c r="T75" s="113">
        <f t="shared" si="4"/>
        <v>28029.48</v>
      </c>
      <c r="U75" s="113">
        <f t="shared" si="5"/>
        <v>0</v>
      </c>
      <c r="V75" s="26">
        <f t="shared" si="6"/>
        <v>40.6619180943815</v>
      </c>
    </row>
    <row r="76" spans="3:22" s="17" customFormat="1" ht="26.25" customHeight="1" hidden="1">
      <c r="C76" s="23" t="s">
        <v>251</v>
      </c>
      <c r="D76" s="23" t="s">
        <v>249</v>
      </c>
      <c r="E76" s="23" t="s">
        <v>53</v>
      </c>
      <c r="F76" s="32" t="s">
        <v>122</v>
      </c>
      <c r="G76" s="110">
        <f>H76+K76</f>
        <v>0</v>
      </c>
      <c r="H76" s="114">
        <f>H77</f>
        <v>0</v>
      </c>
      <c r="I76" s="114">
        <f aca="true" t="shared" si="14" ref="I76:Q76">I77</f>
        <v>0</v>
      </c>
      <c r="J76" s="5">
        <f t="shared" si="14"/>
        <v>0</v>
      </c>
      <c r="K76" s="5">
        <f t="shared" si="14"/>
        <v>0</v>
      </c>
      <c r="L76" s="110">
        <f>N76+Q76</f>
        <v>0</v>
      </c>
      <c r="M76" s="114">
        <f t="shared" si="14"/>
        <v>0</v>
      </c>
      <c r="N76" s="114">
        <f t="shared" si="14"/>
        <v>0</v>
      </c>
      <c r="O76" s="126">
        <f t="shared" si="14"/>
        <v>0</v>
      </c>
      <c r="P76" s="25" t="e">
        <f t="shared" si="11"/>
        <v>#DIV/0!</v>
      </c>
      <c r="Q76" s="5">
        <f t="shared" si="14"/>
        <v>0</v>
      </c>
      <c r="R76" s="110">
        <f t="shared" si="8"/>
        <v>0</v>
      </c>
      <c r="S76" s="110">
        <f>H76+M76</f>
        <v>0</v>
      </c>
      <c r="T76" s="113">
        <f>I76+N76</f>
        <v>0</v>
      </c>
      <c r="U76" s="113">
        <f>O76</f>
        <v>0</v>
      </c>
      <c r="V76" s="26" t="e">
        <f>T76/R76*100</f>
        <v>#DIV/0!</v>
      </c>
    </row>
    <row r="77" spans="3:22" s="20" customFormat="1" ht="32.25" customHeight="1" hidden="1">
      <c r="C77" s="27"/>
      <c r="D77" s="27"/>
      <c r="E77" s="27"/>
      <c r="F77" s="33" t="s">
        <v>373</v>
      </c>
      <c r="G77" s="110">
        <f>H77+K77</f>
        <v>0</v>
      </c>
      <c r="H77" s="110"/>
      <c r="I77" s="110"/>
      <c r="J77" s="1"/>
      <c r="K77" s="1"/>
      <c r="L77" s="110">
        <f>N77+Q77</f>
        <v>0</v>
      </c>
      <c r="M77" s="111"/>
      <c r="N77" s="127"/>
      <c r="O77" s="125"/>
      <c r="P77" s="25" t="e">
        <f t="shared" si="11"/>
        <v>#DIV/0!</v>
      </c>
      <c r="Q77" s="6"/>
      <c r="R77" s="110">
        <f t="shared" si="8"/>
        <v>0</v>
      </c>
      <c r="S77" s="110">
        <f>H77+M77</f>
        <v>0</v>
      </c>
      <c r="T77" s="113">
        <f>I77+N77</f>
        <v>0</v>
      </c>
      <c r="U77" s="113">
        <f>O77</f>
        <v>0</v>
      </c>
      <c r="V77" s="26" t="e">
        <f>T77/R77*100</f>
        <v>#DIV/0!</v>
      </c>
    </row>
    <row r="78" spans="3:22" s="17" customFormat="1" ht="40.5" customHeight="1">
      <c r="C78" s="23"/>
      <c r="D78" s="23"/>
      <c r="E78" s="23"/>
      <c r="F78" s="46" t="s">
        <v>6</v>
      </c>
      <c r="G78" s="115">
        <f>G39+G41+G47+G58+G62+G65+G70+G76+G73</f>
        <v>194260848</v>
      </c>
      <c r="H78" s="115">
        <f>H39+H41+H47+H58+H62+H65+H70+H76+H73</f>
        <v>48828779</v>
      </c>
      <c r="I78" s="115">
        <f>I39+I41+I47+I58+I62+I65+I70+I76+I73</f>
        <v>41865233.03</v>
      </c>
      <c r="J78" s="39">
        <f>I78/G78*100</f>
        <v>21.551039986194233</v>
      </c>
      <c r="K78" s="7" t="e">
        <f>K39+K41+K47+K58+K62+K65+K70+K76+#REF!+#REF!+#REF!+K73</f>
        <v>#REF!</v>
      </c>
      <c r="L78" s="115">
        <f>L39+L41+L47+L58+L62+L65+L70+L76+L73</f>
        <v>10048357.83</v>
      </c>
      <c r="M78" s="115">
        <f>M39+M41+M47+M58+M62+M65+M70+M76+M73</f>
        <v>10048357.83</v>
      </c>
      <c r="N78" s="115">
        <f>N39+N41+N47+N58+N62+N65+N70+N76+N73</f>
        <v>3111854.2299999995</v>
      </c>
      <c r="O78" s="115">
        <f>O39+O41+O47+O58+O62+O65+O70+O76+O73</f>
        <v>1404999</v>
      </c>
      <c r="P78" s="39">
        <f t="shared" si="11"/>
        <v>30.968783980894514</v>
      </c>
      <c r="Q78" s="7" t="e">
        <f>Q39+Q41+Q47+Q58+Q62+Q65+Q70+Q76+#REF!+#REF!+#REF!+Q73</f>
        <v>#REF!</v>
      </c>
      <c r="R78" s="110">
        <f t="shared" si="8"/>
        <v>204309205.83</v>
      </c>
      <c r="S78" s="110">
        <f t="shared" si="3"/>
        <v>58877136.83</v>
      </c>
      <c r="T78" s="113">
        <f t="shared" si="4"/>
        <v>44977087.26</v>
      </c>
      <c r="U78" s="113">
        <f t="shared" si="5"/>
        <v>1404999</v>
      </c>
      <c r="V78" s="26">
        <f t="shared" si="6"/>
        <v>22.01422450705632</v>
      </c>
    </row>
    <row r="79" spans="3:46" s="17" customFormat="1" ht="42.75" customHeight="1">
      <c r="C79" s="18" t="s">
        <v>95</v>
      </c>
      <c r="D79" s="18"/>
      <c r="E79" s="18"/>
      <c r="F79" s="19" t="s">
        <v>374</v>
      </c>
      <c r="G79" s="110"/>
      <c r="H79" s="110"/>
      <c r="I79" s="110"/>
      <c r="J79" s="1"/>
      <c r="K79" s="1"/>
      <c r="L79" s="110"/>
      <c r="M79" s="110"/>
      <c r="N79" s="110"/>
      <c r="O79" s="124"/>
      <c r="P79" s="1"/>
      <c r="Q79" s="1"/>
      <c r="R79" s="110"/>
      <c r="S79" s="110"/>
      <c r="T79" s="113"/>
      <c r="U79" s="113"/>
      <c r="V79" s="26"/>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row>
    <row r="80" spans="3:46" s="20" customFormat="1" ht="45" customHeight="1">
      <c r="C80" s="21" t="s">
        <v>96</v>
      </c>
      <c r="D80" s="21"/>
      <c r="E80" s="21"/>
      <c r="F80" s="22" t="s">
        <v>428</v>
      </c>
      <c r="G80" s="111"/>
      <c r="H80" s="111"/>
      <c r="I80" s="111"/>
      <c r="J80" s="6"/>
      <c r="K80" s="6"/>
      <c r="L80" s="111"/>
      <c r="M80" s="111"/>
      <c r="N80" s="111"/>
      <c r="O80" s="125"/>
      <c r="P80" s="6"/>
      <c r="Q80" s="6"/>
      <c r="R80" s="110"/>
      <c r="S80" s="110"/>
      <c r="T80" s="113"/>
      <c r="U80" s="113"/>
      <c r="V80" s="26"/>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row>
    <row r="81" spans="3:46" s="20" customFormat="1" ht="37.5" customHeight="1">
      <c r="C81" s="27"/>
      <c r="D81" s="27"/>
      <c r="E81" s="27"/>
      <c r="F81" s="28" t="s">
        <v>474</v>
      </c>
      <c r="G81" s="111">
        <f>G87+G98+G99+G118+G119+G130+G136+G146</f>
        <v>9306570.09</v>
      </c>
      <c r="H81" s="111">
        <f>H87+H98+H99+H118+H119+H130+H136+H146</f>
        <v>8698174.09</v>
      </c>
      <c r="I81" s="111">
        <f>I87+I98+I99+I118+I119+I130+I136+I146</f>
        <v>8337758.79</v>
      </c>
      <c r="J81" s="25">
        <f>I81/G81*100</f>
        <v>89.59002843549207</v>
      </c>
      <c r="K81" s="6" t="e">
        <f>K87+#REF!+#REF!+#REF!+K98+K99+#REF!+K107+#REF!+#REF!+#REF!+#REF!+#REF!+#REF!++#REF!+#REF!+#REF!+#REF!+#REF!+#REF!+#REF!+#REF!+#REF!+#REF!+#REF!+#REF!+#REF!+K118+#REF!+#REF!+K119+K130+K136+K146</f>
        <v>#REF!</v>
      </c>
      <c r="L81" s="111">
        <f>L87+L98+L99+L118+L119+L130+L136+L146</f>
        <v>0</v>
      </c>
      <c r="M81" s="111">
        <f>M87+M98+M99+M118+M119+M130+M136+M146</f>
        <v>0</v>
      </c>
      <c r="N81" s="111">
        <f>N87+N98+N99+N118+N119+N130+N136+N146</f>
        <v>0</v>
      </c>
      <c r="O81" s="111">
        <f>O87+O98+O99+O118+O119+O130+O136+O146</f>
        <v>0</v>
      </c>
      <c r="P81" s="25"/>
      <c r="Q81" s="6" t="e">
        <f>Q87+#REF!+#REF!+#REF!+Q98+Q99+#REF!+Q107+#REF!+#REF!+#REF!+#REF!+#REF!+#REF!++#REF!+#REF!+#REF!+#REF!+#REF!+#REF!+#REF!+#REF!+#REF!+#REF!+#REF!+#REF!+#REF!+Q118+#REF!+#REF!+Q119+Q130+Q136+Q146</f>
        <v>#REF!</v>
      </c>
      <c r="R81" s="110">
        <f>G81+L81</f>
        <v>9306570.09</v>
      </c>
      <c r="S81" s="110">
        <f t="shared" si="3"/>
        <v>8698174.09</v>
      </c>
      <c r="T81" s="113">
        <f t="shared" si="4"/>
        <v>8337758.79</v>
      </c>
      <c r="U81" s="113">
        <f t="shared" si="5"/>
        <v>0</v>
      </c>
      <c r="V81" s="26">
        <f t="shared" si="6"/>
        <v>89.59002843549207</v>
      </c>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row>
    <row r="82" spans="1:22" s="17" customFormat="1" ht="42.75" customHeight="1">
      <c r="A82" s="17">
        <v>3</v>
      </c>
      <c r="B82" s="17">
        <v>18</v>
      </c>
      <c r="C82" s="23" t="s">
        <v>97</v>
      </c>
      <c r="D82" s="23" t="s">
        <v>33</v>
      </c>
      <c r="E82" s="23" t="s">
        <v>30</v>
      </c>
      <c r="F82" s="41" t="s">
        <v>98</v>
      </c>
      <c r="G82" s="110">
        <f>G83+G84</f>
        <v>8711450</v>
      </c>
      <c r="H82" s="110">
        <f>H83+H84</f>
        <v>2398278</v>
      </c>
      <c r="I82" s="110">
        <f>I83+I84</f>
        <v>2183663.38</v>
      </c>
      <c r="J82" s="25">
        <f>I82/G82*100</f>
        <v>25.066589144172326</v>
      </c>
      <c r="K82" s="1"/>
      <c r="L82" s="110">
        <f>L83+L84</f>
        <v>1017.36</v>
      </c>
      <c r="M82" s="110">
        <f>M83+M84</f>
        <v>1017.36</v>
      </c>
      <c r="N82" s="110">
        <f>N83+N84</f>
        <v>0</v>
      </c>
      <c r="O82" s="110">
        <f>O83+O84</f>
        <v>0</v>
      </c>
      <c r="P82" s="25">
        <f>N82/L82*100</f>
        <v>0</v>
      </c>
      <c r="Q82" s="1"/>
      <c r="R82" s="110">
        <f aca="true" t="shared" si="15" ref="R82:R123">G82+L82</f>
        <v>8712467.36</v>
      </c>
      <c r="S82" s="110">
        <f aca="true" t="shared" si="16" ref="S82:S123">H82+M82</f>
        <v>2399295.36</v>
      </c>
      <c r="T82" s="113">
        <f aca="true" t="shared" si="17" ref="T82:T123">I82+N82</f>
        <v>2183663.38</v>
      </c>
      <c r="U82" s="113">
        <f aca="true" t="shared" si="18" ref="U82:U123">O82</f>
        <v>0</v>
      </c>
      <c r="V82" s="26">
        <f aca="true" t="shared" si="19" ref="V82:V123">T82/R82*100</f>
        <v>25.063662103636275</v>
      </c>
    </row>
    <row r="83" spans="3:22" s="17" customFormat="1" ht="15">
      <c r="C83" s="23"/>
      <c r="D83" s="23"/>
      <c r="E83" s="23"/>
      <c r="F83" s="31" t="s">
        <v>478</v>
      </c>
      <c r="G83" s="110">
        <v>8621300</v>
      </c>
      <c r="H83" s="110">
        <v>2375188</v>
      </c>
      <c r="I83" s="110">
        <v>2183663.38</v>
      </c>
      <c r="J83" s="25">
        <f>I83/G83*100</f>
        <v>25.328701935902938</v>
      </c>
      <c r="K83" s="1"/>
      <c r="L83" s="110">
        <v>1017.36</v>
      </c>
      <c r="M83" s="110">
        <v>1017.36</v>
      </c>
      <c r="N83" s="110"/>
      <c r="O83" s="124"/>
      <c r="P83" s="25"/>
      <c r="Q83" s="1"/>
      <c r="R83" s="110">
        <f aca="true" t="shared" si="20" ref="R83:T84">G83+L83</f>
        <v>8622317.36</v>
      </c>
      <c r="S83" s="110">
        <f t="shared" si="20"/>
        <v>2376205.36</v>
      </c>
      <c r="T83" s="113">
        <f t="shared" si="20"/>
        <v>2183663.38</v>
      </c>
      <c r="U83" s="113">
        <f>O83</f>
        <v>0</v>
      </c>
      <c r="V83" s="26">
        <f>T83/R83*100</f>
        <v>25.325713364834908</v>
      </c>
    </row>
    <row r="84" spans="3:22" s="17" customFormat="1" ht="46.5">
      <c r="C84" s="23"/>
      <c r="D84" s="23"/>
      <c r="E84" s="23"/>
      <c r="F84" s="28" t="s">
        <v>310</v>
      </c>
      <c r="G84" s="110">
        <v>90150</v>
      </c>
      <c r="H84" s="110">
        <v>23090</v>
      </c>
      <c r="I84" s="110"/>
      <c r="J84" s="25">
        <f>I84/G84*100</f>
        <v>0</v>
      </c>
      <c r="K84" s="1"/>
      <c r="L84" s="110"/>
      <c r="M84" s="110"/>
      <c r="N84" s="110"/>
      <c r="O84" s="124"/>
      <c r="P84" s="25"/>
      <c r="Q84" s="1"/>
      <c r="R84" s="110">
        <f t="shared" si="20"/>
        <v>90150</v>
      </c>
      <c r="S84" s="110">
        <f t="shared" si="20"/>
        <v>23090</v>
      </c>
      <c r="T84" s="113">
        <f t="shared" si="20"/>
        <v>0</v>
      </c>
      <c r="U84" s="113">
        <f>O84</f>
        <v>0</v>
      </c>
      <c r="V84" s="26">
        <f>T84/R84*100</f>
        <v>0</v>
      </c>
    </row>
    <row r="85" spans="3:22" s="29" customFormat="1" ht="34.5" customHeight="1">
      <c r="C85" s="49"/>
      <c r="D85" s="49"/>
      <c r="E85" s="49"/>
      <c r="F85" s="50" t="s">
        <v>183</v>
      </c>
      <c r="G85" s="115">
        <f>G86+G91+G93+G94+G95+G96+G100+G101</f>
        <v>26266928.09</v>
      </c>
      <c r="H85" s="115">
        <f>H86+H91+H93+H94+H95+H96+H100+H101</f>
        <v>24505358.09</v>
      </c>
      <c r="I85" s="115">
        <f>I86+I91+I93+I94+I95+I96+I100+I101</f>
        <v>19611912.09</v>
      </c>
      <c r="J85" s="39">
        <f aca="true" t="shared" si="21" ref="J85:J127">I85/G85*100</f>
        <v>74.66389683179736</v>
      </c>
      <c r="K85" s="7" t="e">
        <f>K86+K91+K93+K94+K95+K96+K100+#REF!+K101+#REF!</f>
        <v>#REF!</v>
      </c>
      <c r="L85" s="115">
        <f>L86+L91+L93+L94+L95+L96+L100+L101</f>
        <v>7630860</v>
      </c>
      <c r="M85" s="115">
        <f>M86+M91+M93+M94+M95+M96+M100+M101</f>
        <v>7392960</v>
      </c>
      <c r="N85" s="115">
        <f>N86+N91+N93+N94+N95+N96+N100+N101</f>
        <v>4672106.08</v>
      </c>
      <c r="O85" s="115">
        <f>O86+O91+O93+O94+O95+O96+O100+O101</f>
        <v>4672106.08</v>
      </c>
      <c r="P85" s="39">
        <f>N85/L85*100</f>
        <v>61.226468314187386</v>
      </c>
      <c r="Q85" s="7" t="e">
        <f>Q86+Q91+Q93+Q94+Q95+Q96+Q100+#REF!+Q101+#REF!</f>
        <v>#REF!</v>
      </c>
      <c r="R85" s="110">
        <f t="shared" si="15"/>
        <v>33897788.09</v>
      </c>
      <c r="S85" s="110">
        <f t="shared" si="16"/>
        <v>31898318.09</v>
      </c>
      <c r="T85" s="113">
        <f t="shared" si="17"/>
        <v>24284018.17</v>
      </c>
      <c r="U85" s="113">
        <f t="shared" si="18"/>
        <v>4672106.08</v>
      </c>
      <c r="V85" s="26">
        <f t="shared" si="19"/>
        <v>71.6389461917838</v>
      </c>
    </row>
    <row r="86" spans="3:22" s="17" customFormat="1" ht="49.5" customHeight="1">
      <c r="C86" s="42" t="s">
        <v>123</v>
      </c>
      <c r="D86" s="42" t="s">
        <v>86</v>
      </c>
      <c r="E86" s="42" t="s">
        <v>87</v>
      </c>
      <c r="F86" s="35" t="s">
        <v>289</v>
      </c>
      <c r="G86" s="114">
        <f>SUM(G87:G90)</f>
        <v>21434509</v>
      </c>
      <c r="H86" s="114">
        <f>SUM(H87:H90)</f>
        <v>21172409</v>
      </c>
      <c r="I86" s="114">
        <f>SUM(I87:I90)</f>
        <v>17658866.98</v>
      </c>
      <c r="J86" s="25">
        <f t="shared" si="21"/>
        <v>82.38521806121149</v>
      </c>
      <c r="K86" s="5">
        <f>SUM(K87:K90)</f>
        <v>0</v>
      </c>
      <c r="L86" s="114">
        <f>SUM(L87:L90)</f>
        <v>7630860</v>
      </c>
      <c r="M86" s="114">
        <f>SUM(M87:M90)</f>
        <v>7392960</v>
      </c>
      <c r="N86" s="114">
        <f>SUM(N87:N90)</f>
        <v>4672106.08</v>
      </c>
      <c r="O86" s="114">
        <f>SUM(O87:O90)</f>
        <v>4672106.08</v>
      </c>
      <c r="P86" s="25">
        <f>N86/L86*100</f>
        <v>61.226468314187386</v>
      </c>
      <c r="Q86" s="5">
        <f>SUM(Q87:Q90)</f>
        <v>31600</v>
      </c>
      <c r="R86" s="110">
        <f t="shared" si="15"/>
        <v>29065369</v>
      </c>
      <c r="S86" s="110">
        <f t="shared" si="16"/>
        <v>28565369</v>
      </c>
      <c r="T86" s="113">
        <f t="shared" si="17"/>
        <v>22330973.060000002</v>
      </c>
      <c r="U86" s="113">
        <f t="shared" si="18"/>
        <v>4672106.08</v>
      </c>
      <c r="V86" s="26">
        <f t="shared" si="19"/>
        <v>76.83017222317048</v>
      </c>
    </row>
    <row r="87" spans="3:22" s="20" customFormat="1" ht="25.5" customHeight="1">
      <c r="C87" s="51"/>
      <c r="D87" s="51"/>
      <c r="E87" s="51"/>
      <c r="F87" s="52" t="s">
        <v>429</v>
      </c>
      <c r="G87" s="110">
        <v>7787500</v>
      </c>
      <c r="H87" s="110">
        <v>7787500</v>
      </c>
      <c r="I87" s="110">
        <v>7787500</v>
      </c>
      <c r="J87" s="25">
        <f t="shared" si="21"/>
        <v>100</v>
      </c>
      <c r="K87" s="1"/>
      <c r="L87" s="110"/>
      <c r="M87" s="111"/>
      <c r="N87" s="127"/>
      <c r="O87" s="125"/>
      <c r="P87" s="25"/>
      <c r="Q87" s="6"/>
      <c r="R87" s="110">
        <f t="shared" si="15"/>
        <v>7787500</v>
      </c>
      <c r="S87" s="110">
        <f t="shared" si="16"/>
        <v>7787500</v>
      </c>
      <c r="T87" s="113">
        <f t="shared" si="17"/>
        <v>7787500</v>
      </c>
      <c r="U87" s="113">
        <f t="shared" si="18"/>
        <v>0</v>
      </c>
      <c r="V87" s="26">
        <f t="shared" si="19"/>
        <v>100</v>
      </c>
    </row>
    <row r="88" spans="3:22" s="20" customFormat="1" ht="30.75">
      <c r="C88" s="51"/>
      <c r="D88" s="51"/>
      <c r="E88" s="51"/>
      <c r="F88" s="52" t="s">
        <v>459</v>
      </c>
      <c r="G88" s="110">
        <v>12942000</v>
      </c>
      <c r="H88" s="110">
        <v>12679900</v>
      </c>
      <c r="I88" s="110">
        <v>9796036.98</v>
      </c>
      <c r="J88" s="25">
        <f t="shared" si="21"/>
        <v>75.69183263792304</v>
      </c>
      <c r="K88" s="1"/>
      <c r="L88" s="110">
        <f>553000+237900</f>
        <v>790900</v>
      </c>
      <c r="M88" s="110">
        <v>553000</v>
      </c>
      <c r="N88" s="110">
        <v>294998</v>
      </c>
      <c r="O88" s="124">
        <v>294998</v>
      </c>
      <c r="P88" s="25">
        <f>N88/L88*100</f>
        <v>37.299026425591094</v>
      </c>
      <c r="Q88" s="1">
        <v>31600</v>
      </c>
      <c r="R88" s="110">
        <f t="shared" si="15"/>
        <v>13732900</v>
      </c>
      <c r="S88" s="110">
        <f t="shared" si="16"/>
        <v>13232900</v>
      </c>
      <c r="T88" s="113">
        <f t="shared" si="17"/>
        <v>10091034.98</v>
      </c>
      <c r="U88" s="113">
        <f t="shared" si="18"/>
        <v>294998</v>
      </c>
      <c r="V88" s="26">
        <f t="shared" si="19"/>
        <v>73.4807286152233</v>
      </c>
    </row>
    <row r="89" spans="3:22" s="20" customFormat="1" ht="39.75" customHeight="1">
      <c r="C89" s="51"/>
      <c r="D89" s="51"/>
      <c r="E89" s="51"/>
      <c r="F89" s="52" t="s">
        <v>352</v>
      </c>
      <c r="G89" s="110">
        <v>10800</v>
      </c>
      <c r="H89" s="110">
        <v>10800</v>
      </c>
      <c r="I89" s="110"/>
      <c r="J89" s="25">
        <f t="shared" si="21"/>
        <v>0</v>
      </c>
      <c r="K89" s="1"/>
      <c r="L89" s="110">
        <v>10200</v>
      </c>
      <c r="M89" s="110">
        <v>10200</v>
      </c>
      <c r="N89" s="110"/>
      <c r="O89" s="125"/>
      <c r="P89" s="25">
        <f>N89/L89*100</f>
        <v>0</v>
      </c>
      <c r="Q89" s="6"/>
      <c r="R89" s="110">
        <f t="shared" si="15"/>
        <v>21000</v>
      </c>
      <c r="S89" s="110">
        <f t="shared" si="16"/>
        <v>21000</v>
      </c>
      <c r="T89" s="113">
        <f t="shared" si="17"/>
        <v>0</v>
      </c>
      <c r="U89" s="113">
        <f t="shared" si="18"/>
        <v>0</v>
      </c>
      <c r="V89" s="26">
        <f t="shared" si="19"/>
        <v>0</v>
      </c>
    </row>
    <row r="90" spans="3:22" s="20" customFormat="1" ht="46.5">
      <c r="C90" s="51"/>
      <c r="D90" s="51"/>
      <c r="E90" s="51"/>
      <c r="F90" s="28" t="s">
        <v>310</v>
      </c>
      <c r="G90" s="110">
        <v>694209</v>
      </c>
      <c r="H90" s="110">
        <v>694209</v>
      </c>
      <c r="I90" s="110">
        <v>75330</v>
      </c>
      <c r="J90" s="25">
        <f t="shared" si="21"/>
        <v>10.851198990505742</v>
      </c>
      <c r="K90" s="1"/>
      <c r="L90" s="110">
        <f>7067660-237900</f>
        <v>6829760</v>
      </c>
      <c r="M90" s="110">
        <v>6829760</v>
      </c>
      <c r="N90" s="110">
        <v>4377108.08</v>
      </c>
      <c r="O90" s="124">
        <v>4377108.08</v>
      </c>
      <c r="P90" s="25"/>
      <c r="Q90" s="6"/>
      <c r="R90" s="110">
        <f t="shared" si="15"/>
        <v>7523969</v>
      </c>
      <c r="S90" s="110">
        <f t="shared" si="16"/>
        <v>7523969</v>
      </c>
      <c r="T90" s="113">
        <f t="shared" si="17"/>
        <v>4452438.08</v>
      </c>
      <c r="U90" s="113">
        <f t="shared" si="18"/>
        <v>4377108.08</v>
      </c>
      <c r="V90" s="26">
        <f t="shared" si="19"/>
        <v>59.176720159267006</v>
      </c>
    </row>
    <row r="91" spans="3:22" s="17" customFormat="1" ht="39.75" customHeight="1">
      <c r="C91" s="42" t="s">
        <v>234</v>
      </c>
      <c r="D91" s="42" t="s">
        <v>235</v>
      </c>
      <c r="E91" s="42" t="s">
        <v>236</v>
      </c>
      <c r="F91" s="53" t="s">
        <v>237</v>
      </c>
      <c r="G91" s="114">
        <f>SUM(G92:G92)</f>
        <v>2045149</v>
      </c>
      <c r="H91" s="114">
        <f>SUM(H92:H92)</f>
        <v>2045149</v>
      </c>
      <c r="I91" s="114">
        <f>SUM(I92:I92)</f>
        <v>1277970</v>
      </c>
      <c r="J91" s="25">
        <f t="shared" si="21"/>
        <v>62.4878676321383</v>
      </c>
      <c r="K91" s="5">
        <f>SUM(K92:K92)</f>
        <v>0</v>
      </c>
      <c r="L91" s="114">
        <f>SUM(L92:L92)</f>
        <v>0</v>
      </c>
      <c r="M91" s="114">
        <f>SUM(M92:M92)</f>
        <v>0</v>
      </c>
      <c r="N91" s="114">
        <f>SUM(N92:N92)</f>
        <v>0</v>
      </c>
      <c r="O91" s="126">
        <f>SUM(O92:O92)</f>
        <v>0</v>
      </c>
      <c r="P91" s="25"/>
      <c r="Q91" s="5">
        <f>SUM(Q92:Q92)</f>
        <v>0</v>
      </c>
      <c r="R91" s="110">
        <f t="shared" si="15"/>
        <v>2045149</v>
      </c>
      <c r="S91" s="110">
        <f t="shared" si="16"/>
        <v>2045149</v>
      </c>
      <c r="T91" s="113">
        <f t="shared" si="17"/>
        <v>1277970</v>
      </c>
      <c r="U91" s="113">
        <f t="shared" si="18"/>
        <v>0</v>
      </c>
      <c r="V91" s="26">
        <f t="shared" si="19"/>
        <v>62.4878676321383</v>
      </c>
    </row>
    <row r="92" spans="3:22" s="20" customFormat="1" ht="46.5">
      <c r="C92" s="51"/>
      <c r="D92" s="51"/>
      <c r="E92" s="51"/>
      <c r="F92" s="28" t="s">
        <v>310</v>
      </c>
      <c r="G92" s="110">
        <v>2045149</v>
      </c>
      <c r="H92" s="110">
        <v>2045149</v>
      </c>
      <c r="I92" s="110">
        <v>1277970</v>
      </c>
      <c r="J92" s="25">
        <f t="shared" si="21"/>
        <v>62.4878676321383</v>
      </c>
      <c r="K92" s="1"/>
      <c r="L92" s="110"/>
      <c r="M92" s="110"/>
      <c r="N92" s="110"/>
      <c r="O92" s="124"/>
      <c r="P92" s="25"/>
      <c r="Q92" s="1"/>
      <c r="R92" s="110">
        <f t="shared" si="15"/>
        <v>2045149</v>
      </c>
      <c r="S92" s="110">
        <f t="shared" si="16"/>
        <v>2045149</v>
      </c>
      <c r="T92" s="113">
        <f t="shared" si="17"/>
        <v>1277970</v>
      </c>
      <c r="U92" s="113">
        <f t="shared" si="18"/>
        <v>0</v>
      </c>
      <c r="V92" s="26">
        <f t="shared" si="19"/>
        <v>62.4878676321383</v>
      </c>
    </row>
    <row r="93" spans="3:22" s="17" customFormat="1" ht="60" customHeight="1">
      <c r="C93" s="54" t="s">
        <v>154</v>
      </c>
      <c r="D93" s="54" t="s">
        <v>124</v>
      </c>
      <c r="E93" s="54" t="s">
        <v>45</v>
      </c>
      <c r="F93" s="41" t="s">
        <v>335</v>
      </c>
      <c r="G93" s="110">
        <v>20500</v>
      </c>
      <c r="H93" s="110"/>
      <c r="I93" s="110"/>
      <c r="J93" s="25">
        <f t="shared" si="21"/>
        <v>0</v>
      </c>
      <c r="K93" s="1"/>
      <c r="L93" s="110"/>
      <c r="M93" s="110"/>
      <c r="N93" s="128"/>
      <c r="O93" s="124"/>
      <c r="P93" s="25"/>
      <c r="Q93" s="1"/>
      <c r="R93" s="110">
        <f t="shared" si="15"/>
        <v>20500</v>
      </c>
      <c r="S93" s="110">
        <f t="shared" si="16"/>
        <v>0</v>
      </c>
      <c r="T93" s="113">
        <f t="shared" si="17"/>
        <v>0</v>
      </c>
      <c r="U93" s="113">
        <f t="shared" si="18"/>
        <v>0</v>
      </c>
      <c r="V93" s="26">
        <f t="shared" si="19"/>
        <v>0</v>
      </c>
    </row>
    <row r="94" spans="3:22" s="17" customFormat="1" ht="58.5" customHeight="1">
      <c r="C94" s="54" t="s">
        <v>155</v>
      </c>
      <c r="D94" s="54" t="s">
        <v>125</v>
      </c>
      <c r="E94" s="54" t="s">
        <v>45</v>
      </c>
      <c r="F94" s="53" t="s">
        <v>430</v>
      </c>
      <c r="G94" s="110">
        <v>62400</v>
      </c>
      <c r="H94" s="110">
        <v>24250</v>
      </c>
      <c r="I94" s="110">
        <v>17217.2</v>
      </c>
      <c r="J94" s="25">
        <f t="shared" si="21"/>
        <v>27.59166666666667</v>
      </c>
      <c r="K94" s="1"/>
      <c r="L94" s="110"/>
      <c r="M94" s="110"/>
      <c r="N94" s="128"/>
      <c r="O94" s="124"/>
      <c r="P94" s="25"/>
      <c r="Q94" s="1"/>
      <c r="R94" s="110">
        <f t="shared" si="15"/>
        <v>62400</v>
      </c>
      <c r="S94" s="110">
        <f t="shared" si="16"/>
        <v>24250</v>
      </c>
      <c r="T94" s="113">
        <f t="shared" si="17"/>
        <v>17217.2</v>
      </c>
      <c r="U94" s="113">
        <f t="shared" si="18"/>
        <v>0</v>
      </c>
      <c r="V94" s="26">
        <f t="shared" si="19"/>
        <v>27.59166666666667</v>
      </c>
    </row>
    <row r="95" spans="3:22" s="17" customFormat="1" ht="63.75" customHeight="1">
      <c r="C95" s="54" t="s">
        <v>156</v>
      </c>
      <c r="D95" s="54" t="s">
        <v>126</v>
      </c>
      <c r="E95" s="54" t="s">
        <v>45</v>
      </c>
      <c r="F95" s="53" t="s">
        <v>336</v>
      </c>
      <c r="G95" s="110">
        <v>39000</v>
      </c>
      <c r="H95" s="110">
        <v>9750</v>
      </c>
      <c r="I95" s="110"/>
      <c r="J95" s="25">
        <f t="shared" si="21"/>
        <v>0</v>
      </c>
      <c r="K95" s="1"/>
      <c r="L95" s="110"/>
      <c r="M95" s="110"/>
      <c r="N95" s="128"/>
      <c r="O95" s="124"/>
      <c r="P95" s="25"/>
      <c r="Q95" s="1"/>
      <c r="R95" s="110">
        <f t="shared" si="15"/>
        <v>39000</v>
      </c>
      <c r="S95" s="110">
        <f t="shared" si="16"/>
        <v>9750</v>
      </c>
      <c r="T95" s="113">
        <f t="shared" si="17"/>
        <v>0</v>
      </c>
      <c r="U95" s="113">
        <f t="shared" si="18"/>
        <v>0</v>
      </c>
      <c r="V95" s="26">
        <f t="shared" si="19"/>
        <v>0</v>
      </c>
    </row>
    <row r="96" spans="3:22" s="17" customFormat="1" ht="51" customHeight="1">
      <c r="C96" s="54" t="s">
        <v>157</v>
      </c>
      <c r="D96" s="54" t="s">
        <v>128</v>
      </c>
      <c r="E96" s="54" t="s">
        <v>45</v>
      </c>
      <c r="F96" s="53" t="s">
        <v>127</v>
      </c>
      <c r="G96" s="114">
        <f>SUM(G97:G99)</f>
        <v>861770.0900000001</v>
      </c>
      <c r="H96" s="114">
        <f>SUM(H97:H99)</f>
        <v>711770.0900000001</v>
      </c>
      <c r="I96" s="114">
        <f>SUM(I97:I99)</f>
        <v>371228.13</v>
      </c>
      <c r="J96" s="25">
        <f t="shared" si="21"/>
        <v>43.07739782428512</v>
      </c>
      <c r="K96" s="5">
        <f>SUM(K97:K99)</f>
        <v>0</v>
      </c>
      <c r="L96" s="114">
        <f>SUM(L97:L99)</f>
        <v>0</v>
      </c>
      <c r="M96" s="114">
        <f>SUM(M97:M99)</f>
        <v>0</v>
      </c>
      <c r="N96" s="114">
        <f>SUM(N97:N99)</f>
        <v>0</v>
      </c>
      <c r="O96" s="126">
        <f>SUM(O97:O99)</f>
        <v>0</v>
      </c>
      <c r="P96" s="25"/>
      <c r="Q96" s="5">
        <f>SUM(Q97:Q99)</f>
        <v>0</v>
      </c>
      <c r="R96" s="110">
        <f t="shared" si="15"/>
        <v>861770.0900000001</v>
      </c>
      <c r="S96" s="110">
        <f t="shared" si="16"/>
        <v>711770.0900000001</v>
      </c>
      <c r="T96" s="113">
        <f t="shared" si="17"/>
        <v>371228.13</v>
      </c>
      <c r="U96" s="113">
        <f t="shared" si="18"/>
        <v>0</v>
      </c>
      <c r="V96" s="26">
        <f t="shared" si="19"/>
        <v>43.07739782428512</v>
      </c>
    </row>
    <row r="97" spans="3:22" s="17" customFormat="1" ht="41.25" customHeight="1">
      <c r="C97" s="55"/>
      <c r="D97" s="55"/>
      <c r="E97" s="55"/>
      <c r="F97" s="52" t="s">
        <v>390</v>
      </c>
      <c r="G97" s="110">
        <v>150000</v>
      </c>
      <c r="H97" s="110"/>
      <c r="I97" s="110"/>
      <c r="J97" s="25">
        <f t="shared" si="21"/>
        <v>0</v>
      </c>
      <c r="K97" s="1"/>
      <c r="L97" s="110"/>
      <c r="M97" s="111"/>
      <c r="N97" s="110"/>
      <c r="O97" s="124"/>
      <c r="P97" s="25"/>
      <c r="Q97" s="1"/>
      <c r="R97" s="110">
        <f t="shared" si="15"/>
        <v>150000</v>
      </c>
      <c r="S97" s="110">
        <f t="shared" si="16"/>
        <v>0</v>
      </c>
      <c r="T97" s="113">
        <f t="shared" si="17"/>
        <v>0</v>
      </c>
      <c r="U97" s="113">
        <f t="shared" si="18"/>
        <v>0</v>
      </c>
      <c r="V97" s="26">
        <f t="shared" si="19"/>
        <v>0</v>
      </c>
    </row>
    <row r="98" spans="3:22" s="17" customFormat="1" ht="39" customHeight="1">
      <c r="C98" s="55"/>
      <c r="D98" s="55"/>
      <c r="E98" s="55"/>
      <c r="F98" s="52" t="s">
        <v>468</v>
      </c>
      <c r="G98" s="110">
        <v>491270.09</v>
      </c>
      <c r="H98" s="110">
        <v>491270.09</v>
      </c>
      <c r="I98" s="110">
        <v>150728.13</v>
      </c>
      <c r="J98" s="25">
        <f t="shared" si="21"/>
        <v>30.68131625924957</v>
      </c>
      <c r="K98" s="1"/>
      <c r="L98" s="110"/>
      <c r="M98" s="111"/>
      <c r="N98" s="128"/>
      <c r="O98" s="124"/>
      <c r="P98" s="25"/>
      <c r="Q98" s="1"/>
      <c r="R98" s="110">
        <f t="shared" si="15"/>
        <v>491270.09</v>
      </c>
      <c r="S98" s="110">
        <f t="shared" si="16"/>
        <v>491270.09</v>
      </c>
      <c r="T98" s="113">
        <f t="shared" si="17"/>
        <v>150728.13</v>
      </c>
      <c r="U98" s="113">
        <f t="shared" si="18"/>
        <v>0</v>
      </c>
      <c r="V98" s="26">
        <f t="shared" si="19"/>
        <v>30.68131625924957</v>
      </c>
    </row>
    <row r="99" spans="3:22" s="17" customFormat="1" ht="78" customHeight="1">
      <c r="C99" s="55"/>
      <c r="D99" s="55"/>
      <c r="E99" s="55"/>
      <c r="F99" s="52" t="s">
        <v>431</v>
      </c>
      <c r="G99" s="110">
        <v>220500</v>
      </c>
      <c r="H99" s="110">
        <v>220500</v>
      </c>
      <c r="I99" s="110">
        <v>220500</v>
      </c>
      <c r="J99" s="25">
        <f t="shared" si="21"/>
        <v>100</v>
      </c>
      <c r="K99" s="1"/>
      <c r="L99" s="110"/>
      <c r="M99" s="111"/>
      <c r="N99" s="128"/>
      <c r="O99" s="124"/>
      <c r="P99" s="25"/>
      <c r="Q99" s="1"/>
      <c r="R99" s="110">
        <f t="shared" si="15"/>
        <v>220500</v>
      </c>
      <c r="S99" s="110">
        <f t="shared" si="16"/>
        <v>220500</v>
      </c>
      <c r="T99" s="113">
        <f t="shared" si="17"/>
        <v>220500</v>
      </c>
      <c r="U99" s="113">
        <f t="shared" si="18"/>
        <v>0</v>
      </c>
      <c r="V99" s="26">
        <f t="shared" si="19"/>
        <v>100</v>
      </c>
    </row>
    <row r="100" spans="3:22" s="17" customFormat="1" ht="57.75" customHeight="1">
      <c r="C100" s="54" t="s">
        <v>228</v>
      </c>
      <c r="D100" s="54" t="s">
        <v>129</v>
      </c>
      <c r="E100" s="54" t="s">
        <v>45</v>
      </c>
      <c r="F100" s="53" t="s">
        <v>337</v>
      </c>
      <c r="G100" s="110">
        <v>414000</v>
      </c>
      <c r="H100" s="110">
        <v>135000</v>
      </c>
      <c r="I100" s="110">
        <v>135000</v>
      </c>
      <c r="J100" s="25">
        <f t="shared" si="21"/>
        <v>32.608695652173914</v>
      </c>
      <c r="K100" s="1"/>
      <c r="L100" s="110"/>
      <c r="M100" s="110"/>
      <c r="N100" s="128"/>
      <c r="O100" s="124"/>
      <c r="P100" s="25"/>
      <c r="Q100" s="1"/>
      <c r="R100" s="110">
        <f t="shared" si="15"/>
        <v>414000</v>
      </c>
      <c r="S100" s="110">
        <f t="shared" si="16"/>
        <v>135000</v>
      </c>
      <c r="T100" s="113">
        <f t="shared" si="17"/>
        <v>135000</v>
      </c>
      <c r="U100" s="113">
        <f t="shared" si="18"/>
        <v>0</v>
      </c>
      <c r="V100" s="26">
        <f t="shared" si="19"/>
        <v>32.608695652173914</v>
      </c>
    </row>
    <row r="101" spans="3:22" s="17" customFormat="1" ht="30.75" customHeight="1">
      <c r="C101" s="54" t="s">
        <v>238</v>
      </c>
      <c r="D101" s="54" t="s">
        <v>280</v>
      </c>
      <c r="E101" s="54" t="s">
        <v>45</v>
      </c>
      <c r="F101" s="53" t="s">
        <v>239</v>
      </c>
      <c r="G101" s="114">
        <f>SUM(G102:G107)</f>
        <v>1389600</v>
      </c>
      <c r="H101" s="114">
        <f>SUM(H102:H107)</f>
        <v>407030</v>
      </c>
      <c r="I101" s="114">
        <f>SUM(I102:I107)</f>
        <v>151629.78</v>
      </c>
      <c r="J101" s="25">
        <f t="shared" si="21"/>
        <v>10.911757340241795</v>
      </c>
      <c r="K101" s="5">
        <f aca="true" t="shared" si="22" ref="K101:Q101">SUM(K102:K107)</f>
        <v>0</v>
      </c>
      <c r="L101" s="114">
        <f>SUM(L102:L107)</f>
        <v>0</v>
      </c>
      <c r="M101" s="114">
        <f t="shared" si="22"/>
        <v>0</v>
      </c>
      <c r="N101" s="114">
        <f t="shared" si="22"/>
        <v>0</v>
      </c>
      <c r="O101" s="126">
        <f t="shared" si="22"/>
        <v>0</v>
      </c>
      <c r="P101" s="25"/>
      <c r="Q101" s="5">
        <f t="shared" si="22"/>
        <v>0</v>
      </c>
      <c r="R101" s="110">
        <f t="shared" si="15"/>
        <v>1389600</v>
      </c>
      <c r="S101" s="110">
        <f t="shared" si="16"/>
        <v>407030</v>
      </c>
      <c r="T101" s="113">
        <f t="shared" si="17"/>
        <v>151629.78</v>
      </c>
      <c r="U101" s="113">
        <f t="shared" si="18"/>
        <v>0</v>
      </c>
      <c r="V101" s="26">
        <f t="shared" si="19"/>
        <v>10.911757340241795</v>
      </c>
    </row>
    <row r="102" spans="3:22" s="17" customFormat="1" ht="56.25" customHeight="1">
      <c r="C102" s="54"/>
      <c r="D102" s="23"/>
      <c r="E102" s="23"/>
      <c r="F102" s="28" t="s">
        <v>338</v>
      </c>
      <c r="G102" s="110">
        <v>152000</v>
      </c>
      <c r="H102" s="110">
        <v>20600</v>
      </c>
      <c r="I102" s="110">
        <v>17850</v>
      </c>
      <c r="J102" s="25">
        <f t="shared" si="21"/>
        <v>11.743421052631579</v>
      </c>
      <c r="K102" s="1"/>
      <c r="L102" s="110"/>
      <c r="M102" s="111"/>
      <c r="N102" s="128"/>
      <c r="O102" s="124"/>
      <c r="P102" s="25"/>
      <c r="Q102" s="1"/>
      <c r="R102" s="110">
        <f t="shared" si="15"/>
        <v>152000</v>
      </c>
      <c r="S102" s="110">
        <f t="shared" si="16"/>
        <v>20600</v>
      </c>
      <c r="T102" s="113">
        <f t="shared" si="17"/>
        <v>17850</v>
      </c>
      <c r="U102" s="113">
        <f t="shared" si="18"/>
        <v>0</v>
      </c>
      <c r="V102" s="26">
        <f t="shared" si="19"/>
        <v>11.743421052631579</v>
      </c>
    </row>
    <row r="103" spans="3:22" s="17" customFormat="1" ht="53.25" customHeight="1">
      <c r="C103" s="54"/>
      <c r="D103" s="23"/>
      <c r="E103" s="54"/>
      <c r="F103" s="28" t="s">
        <v>339</v>
      </c>
      <c r="G103" s="110">
        <v>72000</v>
      </c>
      <c r="H103" s="110">
        <v>18000</v>
      </c>
      <c r="I103" s="110">
        <v>4333.66</v>
      </c>
      <c r="J103" s="25">
        <f t="shared" si="21"/>
        <v>6.018972222222222</v>
      </c>
      <c r="K103" s="1"/>
      <c r="L103" s="110"/>
      <c r="M103" s="111"/>
      <c r="N103" s="128"/>
      <c r="O103" s="124"/>
      <c r="P103" s="25"/>
      <c r="Q103" s="1"/>
      <c r="R103" s="110">
        <f t="shared" si="15"/>
        <v>72000</v>
      </c>
      <c r="S103" s="110">
        <f t="shared" si="16"/>
        <v>18000</v>
      </c>
      <c r="T103" s="113">
        <f t="shared" si="17"/>
        <v>4333.66</v>
      </c>
      <c r="U103" s="113">
        <f t="shared" si="18"/>
        <v>0</v>
      </c>
      <c r="V103" s="26">
        <f t="shared" si="19"/>
        <v>6.018972222222222</v>
      </c>
    </row>
    <row r="104" spans="3:22" s="17" customFormat="1" ht="51.75" customHeight="1">
      <c r="C104" s="54"/>
      <c r="D104" s="23"/>
      <c r="E104" s="23"/>
      <c r="F104" s="28" t="s">
        <v>340</v>
      </c>
      <c r="G104" s="110">
        <v>668000</v>
      </c>
      <c r="H104" s="110">
        <v>168000</v>
      </c>
      <c r="I104" s="110"/>
      <c r="J104" s="25">
        <f t="shared" si="21"/>
        <v>0</v>
      </c>
      <c r="K104" s="1"/>
      <c r="L104" s="110"/>
      <c r="M104" s="111"/>
      <c r="N104" s="128"/>
      <c r="O104" s="124"/>
      <c r="P104" s="25"/>
      <c r="Q104" s="1"/>
      <c r="R104" s="110">
        <f t="shared" si="15"/>
        <v>668000</v>
      </c>
      <c r="S104" s="110">
        <f t="shared" si="16"/>
        <v>168000</v>
      </c>
      <c r="T104" s="113">
        <f t="shared" si="17"/>
        <v>0</v>
      </c>
      <c r="U104" s="113">
        <f t="shared" si="18"/>
        <v>0</v>
      </c>
      <c r="V104" s="26">
        <f t="shared" si="19"/>
        <v>0</v>
      </c>
    </row>
    <row r="105" spans="3:22" s="17" customFormat="1" ht="51.75" customHeight="1">
      <c r="C105" s="54"/>
      <c r="D105" s="23"/>
      <c r="E105" s="23"/>
      <c r="F105" s="28" t="s">
        <v>363</v>
      </c>
      <c r="G105" s="110">
        <v>95000</v>
      </c>
      <c r="H105" s="110">
        <v>46800</v>
      </c>
      <c r="I105" s="110">
        <v>29833.62</v>
      </c>
      <c r="J105" s="25">
        <f t="shared" si="21"/>
        <v>31.40381052631579</v>
      </c>
      <c r="K105" s="1"/>
      <c r="L105" s="110"/>
      <c r="M105" s="111"/>
      <c r="N105" s="128"/>
      <c r="O105" s="124"/>
      <c r="P105" s="25"/>
      <c r="Q105" s="1"/>
      <c r="R105" s="110">
        <f t="shared" si="15"/>
        <v>95000</v>
      </c>
      <c r="S105" s="110">
        <f t="shared" si="16"/>
        <v>46800</v>
      </c>
      <c r="T105" s="113">
        <f t="shared" si="17"/>
        <v>29833.62</v>
      </c>
      <c r="U105" s="113">
        <f t="shared" si="18"/>
        <v>0</v>
      </c>
      <c r="V105" s="26">
        <f t="shared" si="19"/>
        <v>31.40381052631579</v>
      </c>
    </row>
    <row r="106" spans="3:22" s="17" customFormat="1" ht="55.5" customHeight="1">
      <c r="C106" s="54"/>
      <c r="D106" s="23"/>
      <c r="E106" s="54"/>
      <c r="F106" s="28" t="s">
        <v>341</v>
      </c>
      <c r="G106" s="110">
        <v>138600</v>
      </c>
      <c r="H106" s="110">
        <v>87630</v>
      </c>
      <c r="I106" s="110">
        <v>47612.5</v>
      </c>
      <c r="J106" s="25">
        <f t="shared" si="21"/>
        <v>34.352453102453104</v>
      </c>
      <c r="K106" s="1"/>
      <c r="L106" s="110"/>
      <c r="M106" s="111"/>
      <c r="N106" s="128"/>
      <c r="O106" s="124"/>
      <c r="P106" s="25"/>
      <c r="Q106" s="1"/>
      <c r="R106" s="110">
        <f t="shared" si="15"/>
        <v>138600</v>
      </c>
      <c r="S106" s="110">
        <f t="shared" si="16"/>
        <v>87630</v>
      </c>
      <c r="T106" s="113">
        <f t="shared" si="17"/>
        <v>47612.5</v>
      </c>
      <c r="U106" s="113">
        <f t="shared" si="18"/>
        <v>0</v>
      </c>
      <c r="V106" s="26">
        <f t="shared" si="19"/>
        <v>34.352453102453104</v>
      </c>
    </row>
    <row r="107" spans="3:22" s="17" customFormat="1" ht="46.5">
      <c r="C107" s="54"/>
      <c r="D107" s="23"/>
      <c r="E107" s="54"/>
      <c r="F107" s="96" t="s">
        <v>460</v>
      </c>
      <c r="G107" s="110">
        <v>264000</v>
      </c>
      <c r="H107" s="110">
        <v>66000</v>
      </c>
      <c r="I107" s="110">
        <v>52000</v>
      </c>
      <c r="J107" s="25">
        <f t="shared" si="21"/>
        <v>19.696969696969695</v>
      </c>
      <c r="K107" s="1"/>
      <c r="L107" s="110"/>
      <c r="M107" s="111"/>
      <c r="N107" s="128"/>
      <c r="O107" s="124"/>
      <c r="P107" s="25"/>
      <c r="Q107" s="1"/>
      <c r="R107" s="110">
        <f t="shared" si="15"/>
        <v>264000</v>
      </c>
      <c r="S107" s="110">
        <f t="shared" si="16"/>
        <v>66000</v>
      </c>
      <c r="T107" s="113">
        <f t="shared" si="17"/>
        <v>52000</v>
      </c>
      <c r="U107" s="113">
        <f t="shared" si="18"/>
        <v>0</v>
      </c>
      <c r="V107" s="26">
        <f t="shared" si="19"/>
        <v>19.696969696969695</v>
      </c>
    </row>
    <row r="108" spans="3:22" s="29" customFormat="1" ht="29.25" customHeight="1">
      <c r="C108" s="56"/>
      <c r="D108" s="18"/>
      <c r="E108" s="56"/>
      <c r="F108" s="19" t="s">
        <v>185</v>
      </c>
      <c r="G108" s="115">
        <f>G109+G112+G114+G116+G118+G119+G120+G124+G128+G130+G132+G135+G141+G150+G145</f>
        <v>17583590</v>
      </c>
      <c r="H108" s="115">
        <f>H109+H112+H114+H116+H118+H119+H120+H124+H128+H130+H132+H135+H141+H150+H145</f>
        <v>4147888</v>
      </c>
      <c r="I108" s="115">
        <f>I109+I112+I114+I116+I118+I119+I120+I124+I128+I130+I132+I135+I141+I150+I145</f>
        <v>3416013.2700000005</v>
      </c>
      <c r="J108" s="25">
        <f t="shared" si="21"/>
        <v>19.427280037807982</v>
      </c>
      <c r="K108" s="7" t="e">
        <f>#REF!+#REF!+#REF!+#REF!+K109+K112+K114+K116+#REF!+#REF!+#REF!+#REF!+#REF!+#REF!+#REF!+K118+#REF!+#REF!+#REF!+#REF!+#REF!+#REF!+K119+K120+K124+#REF!+K128+K130+K132+K135+K141+K150+#REF!+K145+#REF!+#REF!</f>
        <v>#REF!</v>
      </c>
      <c r="L108" s="115">
        <f>L109+L112+L114+L116+L118+L119+L120+L124+L128+L130+L132+L135+L141+L150+L145</f>
        <v>1054397.2</v>
      </c>
      <c r="M108" s="115">
        <f>M109+M112+M114+M116+M118+M119+M120+M124+M128+M130+M132+M135+M141+M150+M145</f>
        <v>189397.2</v>
      </c>
      <c r="N108" s="115">
        <f>N109+N112+N114+N116+N118+N119+N120+N124+N128+N130+N132+N135+N141+N150+N145</f>
        <v>65242.58</v>
      </c>
      <c r="O108" s="115">
        <f>O109+O112+O114+O116+O118+O119+O120+O124+O128+O130+O132+O135+O141+O150+O145</f>
        <v>0</v>
      </c>
      <c r="P108" s="39">
        <f>N108/L108*100</f>
        <v>6.18766627984217</v>
      </c>
      <c r="Q108" s="7" t="e">
        <f>#REF!+#REF!+#REF!+#REF!+Q109+Q112+Q114+Q116+#REF!+#REF!+#REF!+#REF!+#REF!+#REF!+#REF!+Q118+#REF!+#REF!+#REF!+#REF!+#REF!+#REF!+Q119+Q120+Q124+#REF!+Q128+Q130+Q132+Q135+Q141+Q150+#REF!+Q145+#REF!+#REF!</f>
        <v>#REF!</v>
      </c>
      <c r="R108" s="110">
        <f t="shared" si="15"/>
        <v>18637987.2</v>
      </c>
      <c r="S108" s="110">
        <f t="shared" si="16"/>
        <v>4337285.2</v>
      </c>
      <c r="T108" s="113">
        <f t="shared" si="17"/>
        <v>3481255.8500000006</v>
      </c>
      <c r="U108" s="113">
        <f t="shared" si="18"/>
        <v>0</v>
      </c>
      <c r="V108" s="26">
        <f t="shared" si="19"/>
        <v>18.678282223522512</v>
      </c>
    </row>
    <row r="109" spans="3:22" s="57" customFormat="1" ht="40.5" customHeight="1">
      <c r="C109" s="23" t="s">
        <v>132</v>
      </c>
      <c r="D109" s="23" t="s">
        <v>85</v>
      </c>
      <c r="E109" s="23" t="s">
        <v>46</v>
      </c>
      <c r="F109" s="41" t="s">
        <v>130</v>
      </c>
      <c r="G109" s="114">
        <f>G110+G111</f>
        <v>30000</v>
      </c>
      <c r="H109" s="114">
        <f>H110+H111</f>
        <v>6500</v>
      </c>
      <c r="I109" s="114">
        <f>I110+I111</f>
        <v>3136.79</v>
      </c>
      <c r="J109" s="25">
        <f t="shared" si="21"/>
        <v>10.455966666666667</v>
      </c>
      <c r="K109" s="5">
        <f aca="true" t="shared" si="23" ref="K109:Q109">K110</f>
        <v>0</v>
      </c>
      <c r="L109" s="114">
        <f t="shared" si="23"/>
        <v>0</v>
      </c>
      <c r="M109" s="114">
        <f t="shared" si="23"/>
        <v>0</v>
      </c>
      <c r="N109" s="114">
        <f t="shared" si="23"/>
        <v>0</v>
      </c>
      <c r="O109" s="126">
        <f t="shared" si="23"/>
        <v>0</v>
      </c>
      <c r="P109" s="5">
        <f t="shared" si="23"/>
        <v>0</v>
      </c>
      <c r="Q109" s="5">
        <f t="shared" si="23"/>
        <v>0</v>
      </c>
      <c r="R109" s="110">
        <f t="shared" si="15"/>
        <v>30000</v>
      </c>
      <c r="S109" s="110">
        <f t="shared" si="16"/>
        <v>6500</v>
      </c>
      <c r="T109" s="113">
        <f t="shared" si="17"/>
        <v>3136.79</v>
      </c>
      <c r="U109" s="113">
        <f t="shared" si="18"/>
        <v>0</v>
      </c>
      <c r="V109" s="26">
        <f t="shared" si="19"/>
        <v>10.455966666666667</v>
      </c>
    </row>
    <row r="110" spans="3:22" s="57" customFormat="1" ht="26.25" customHeight="1">
      <c r="C110" s="23"/>
      <c r="D110" s="23"/>
      <c r="E110" s="23"/>
      <c r="F110" s="31" t="s">
        <v>292</v>
      </c>
      <c r="G110" s="110">
        <v>20000</v>
      </c>
      <c r="H110" s="110">
        <v>4500</v>
      </c>
      <c r="I110" s="110">
        <v>3136.79</v>
      </c>
      <c r="J110" s="25">
        <f t="shared" si="21"/>
        <v>15.68395</v>
      </c>
      <c r="K110" s="6"/>
      <c r="L110" s="110"/>
      <c r="M110" s="127"/>
      <c r="N110" s="127"/>
      <c r="O110" s="125"/>
      <c r="P110" s="6"/>
      <c r="Q110" s="6"/>
      <c r="R110" s="110">
        <f t="shared" si="15"/>
        <v>20000</v>
      </c>
      <c r="S110" s="110">
        <f t="shared" si="16"/>
        <v>4500</v>
      </c>
      <c r="T110" s="113">
        <f t="shared" si="17"/>
        <v>3136.79</v>
      </c>
      <c r="U110" s="113">
        <f t="shared" si="18"/>
        <v>0</v>
      </c>
      <c r="V110" s="26">
        <f t="shared" si="19"/>
        <v>15.68395</v>
      </c>
    </row>
    <row r="111" spans="3:22" s="57" customFormat="1" ht="30.75">
      <c r="C111" s="23"/>
      <c r="D111" s="23"/>
      <c r="E111" s="23"/>
      <c r="F111" s="31" t="s">
        <v>69</v>
      </c>
      <c r="G111" s="110">
        <v>10000</v>
      </c>
      <c r="H111" s="110">
        <v>2000</v>
      </c>
      <c r="I111" s="110"/>
      <c r="J111" s="25">
        <f t="shared" si="21"/>
        <v>0</v>
      </c>
      <c r="K111" s="6"/>
      <c r="L111" s="110"/>
      <c r="M111" s="127"/>
      <c r="N111" s="127"/>
      <c r="O111" s="125"/>
      <c r="P111" s="6"/>
      <c r="Q111" s="6"/>
      <c r="R111" s="110">
        <f>G111+L111</f>
        <v>10000</v>
      </c>
      <c r="S111" s="110">
        <f>H111+M111</f>
        <v>2000</v>
      </c>
      <c r="T111" s="113">
        <f>I111+N111</f>
        <v>0</v>
      </c>
      <c r="U111" s="113">
        <f>O111</f>
        <v>0</v>
      </c>
      <c r="V111" s="26">
        <f>T111/R111*100</f>
        <v>0</v>
      </c>
    </row>
    <row r="112" spans="3:22" s="57" customFormat="1" ht="42.75" customHeight="1">
      <c r="C112" s="23" t="s">
        <v>133</v>
      </c>
      <c r="D112" s="23" t="s">
        <v>134</v>
      </c>
      <c r="E112" s="23" t="s">
        <v>42</v>
      </c>
      <c r="F112" s="41" t="s">
        <v>131</v>
      </c>
      <c r="G112" s="114">
        <f>G113</f>
        <v>200000</v>
      </c>
      <c r="H112" s="114">
        <f>H113</f>
        <v>50060</v>
      </c>
      <c r="I112" s="114">
        <f>I113</f>
        <v>21069.43</v>
      </c>
      <c r="J112" s="25">
        <f t="shared" si="21"/>
        <v>10.534715</v>
      </c>
      <c r="K112" s="5">
        <f aca="true" t="shared" si="24" ref="K112:Q112">K113</f>
        <v>0</v>
      </c>
      <c r="L112" s="114">
        <f t="shared" si="24"/>
        <v>0</v>
      </c>
      <c r="M112" s="114">
        <f t="shared" si="24"/>
        <v>0</v>
      </c>
      <c r="N112" s="114">
        <f t="shared" si="24"/>
        <v>0</v>
      </c>
      <c r="O112" s="126">
        <f t="shared" si="24"/>
        <v>0</v>
      </c>
      <c r="P112" s="5">
        <f t="shared" si="24"/>
        <v>0</v>
      </c>
      <c r="Q112" s="5">
        <f t="shared" si="24"/>
        <v>0</v>
      </c>
      <c r="R112" s="110">
        <f t="shared" si="15"/>
        <v>200000</v>
      </c>
      <c r="S112" s="110">
        <f t="shared" si="16"/>
        <v>50060</v>
      </c>
      <c r="T112" s="113">
        <f t="shared" si="17"/>
        <v>21069.43</v>
      </c>
      <c r="U112" s="113">
        <f t="shared" si="18"/>
        <v>0</v>
      </c>
      <c r="V112" s="26">
        <f t="shared" si="19"/>
        <v>10.534715</v>
      </c>
    </row>
    <row r="113" spans="3:22" s="58" customFormat="1" ht="31.5" customHeight="1">
      <c r="C113" s="27"/>
      <c r="D113" s="27"/>
      <c r="E113" s="27"/>
      <c r="F113" s="28" t="s">
        <v>292</v>
      </c>
      <c r="G113" s="110">
        <v>200000</v>
      </c>
      <c r="H113" s="110">
        <v>50060</v>
      </c>
      <c r="I113" s="110">
        <v>21069.43</v>
      </c>
      <c r="J113" s="25">
        <f t="shared" si="21"/>
        <v>10.534715</v>
      </c>
      <c r="K113" s="6"/>
      <c r="L113" s="110"/>
      <c r="M113" s="127"/>
      <c r="N113" s="127"/>
      <c r="O113" s="125"/>
      <c r="P113" s="6"/>
      <c r="Q113" s="6"/>
      <c r="R113" s="110">
        <f t="shared" si="15"/>
        <v>200000</v>
      </c>
      <c r="S113" s="110">
        <f t="shared" si="16"/>
        <v>50060</v>
      </c>
      <c r="T113" s="113">
        <f t="shared" si="17"/>
        <v>21069.43</v>
      </c>
      <c r="U113" s="113">
        <f t="shared" si="18"/>
        <v>0</v>
      </c>
      <c r="V113" s="26">
        <f t="shared" si="19"/>
        <v>10.534715</v>
      </c>
    </row>
    <row r="114" spans="3:22" s="17" customFormat="1" ht="44.25" customHeight="1">
      <c r="C114" s="23" t="s">
        <v>136</v>
      </c>
      <c r="D114" s="23" t="s">
        <v>74</v>
      </c>
      <c r="E114" s="23" t="s">
        <v>42</v>
      </c>
      <c r="F114" s="24" t="s">
        <v>135</v>
      </c>
      <c r="G114" s="114">
        <f>G115</f>
        <v>3200000</v>
      </c>
      <c r="H114" s="114">
        <f>H115</f>
        <v>199500</v>
      </c>
      <c r="I114" s="114">
        <f>I115</f>
        <v>139414.08</v>
      </c>
      <c r="J114" s="25">
        <f t="shared" si="21"/>
        <v>4.3566899999999995</v>
      </c>
      <c r="K114" s="5">
        <f aca="true" t="shared" si="25" ref="K114:Q114">K115</f>
        <v>0</v>
      </c>
      <c r="L114" s="114">
        <f t="shared" si="25"/>
        <v>0</v>
      </c>
      <c r="M114" s="114">
        <f t="shared" si="25"/>
        <v>0</v>
      </c>
      <c r="N114" s="114">
        <f t="shared" si="25"/>
        <v>0</v>
      </c>
      <c r="O114" s="126">
        <f t="shared" si="25"/>
        <v>0</v>
      </c>
      <c r="P114" s="5">
        <f t="shared" si="25"/>
        <v>0</v>
      </c>
      <c r="Q114" s="5">
        <f t="shared" si="25"/>
        <v>0</v>
      </c>
      <c r="R114" s="110">
        <f t="shared" si="15"/>
        <v>3200000</v>
      </c>
      <c r="S114" s="110">
        <f t="shared" si="16"/>
        <v>199500</v>
      </c>
      <c r="T114" s="113">
        <f t="shared" si="17"/>
        <v>139414.08</v>
      </c>
      <c r="U114" s="113">
        <f t="shared" si="18"/>
        <v>0</v>
      </c>
      <c r="V114" s="26">
        <f t="shared" si="19"/>
        <v>4.3566899999999995</v>
      </c>
    </row>
    <row r="115" spans="3:22" s="20" customFormat="1" ht="30.75" customHeight="1">
      <c r="C115" s="27"/>
      <c r="D115" s="27"/>
      <c r="E115" s="27"/>
      <c r="F115" s="28" t="s">
        <v>292</v>
      </c>
      <c r="G115" s="110">
        <v>3200000</v>
      </c>
      <c r="H115" s="110">
        <v>199500</v>
      </c>
      <c r="I115" s="110">
        <v>139414.08</v>
      </c>
      <c r="J115" s="25">
        <f t="shared" si="21"/>
        <v>4.3566899999999995</v>
      </c>
      <c r="K115" s="6"/>
      <c r="L115" s="110"/>
      <c r="M115" s="111"/>
      <c r="N115" s="127"/>
      <c r="O115" s="125"/>
      <c r="P115" s="6"/>
      <c r="Q115" s="6"/>
      <c r="R115" s="110">
        <f t="shared" si="15"/>
        <v>3200000</v>
      </c>
      <c r="S115" s="110">
        <f t="shared" si="16"/>
        <v>199500</v>
      </c>
      <c r="T115" s="113">
        <f t="shared" si="17"/>
        <v>139414.08</v>
      </c>
      <c r="U115" s="113">
        <f t="shared" si="18"/>
        <v>0</v>
      </c>
      <c r="V115" s="26">
        <f t="shared" si="19"/>
        <v>4.3566899999999995</v>
      </c>
    </row>
    <row r="116" spans="3:22" s="17" customFormat="1" ht="44.25" customHeight="1">
      <c r="C116" s="23" t="s">
        <v>138</v>
      </c>
      <c r="D116" s="23" t="s">
        <v>47</v>
      </c>
      <c r="E116" s="23" t="s">
        <v>42</v>
      </c>
      <c r="F116" s="24" t="s">
        <v>137</v>
      </c>
      <c r="G116" s="114">
        <f>G117</f>
        <v>160000</v>
      </c>
      <c r="H116" s="114">
        <f>H117</f>
        <v>52000</v>
      </c>
      <c r="I116" s="114">
        <f>I117</f>
        <v>11142.12</v>
      </c>
      <c r="J116" s="25">
        <f t="shared" si="21"/>
        <v>6.963825</v>
      </c>
      <c r="K116" s="5">
        <f aca="true" t="shared" si="26" ref="K116:Q116">K117</f>
        <v>0</v>
      </c>
      <c r="L116" s="114">
        <f t="shared" si="26"/>
        <v>0</v>
      </c>
      <c r="M116" s="114">
        <f t="shared" si="26"/>
        <v>0</v>
      </c>
      <c r="N116" s="114">
        <f t="shared" si="26"/>
        <v>0</v>
      </c>
      <c r="O116" s="126">
        <f t="shared" si="26"/>
        <v>0</v>
      </c>
      <c r="P116" s="5">
        <f t="shared" si="26"/>
        <v>0</v>
      </c>
      <c r="Q116" s="5">
        <f t="shared" si="26"/>
        <v>0</v>
      </c>
      <c r="R116" s="110">
        <f t="shared" si="15"/>
        <v>160000</v>
      </c>
      <c r="S116" s="110">
        <f t="shared" si="16"/>
        <v>52000</v>
      </c>
      <c r="T116" s="113">
        <f t="shared" si="17"/>
        <v>11142.12</v>
      </c>
      <c r="U116" s="113">
        <f t="shared" si="18"/>
        <v>0</v>
      </c>
      <c r="V116" s="26">
        <f t="shared" si="19"/>
        <v>6.963825</v>
      </c>
    </row>
    <row r="117" spans="3:22" s="20" customFormat="1" ht="29.25" customHeight="1">
      <c r="C117" s="27"/>
      <c r="D117" s="27"/>
      <c r="E117" s="27"/>
      <c r="F117" s="28" t="s">
        <v>292</v>
      </c>
      <c r="G117" s="110">
        <v>160000</v>
      </c>
      <c r="H117" s="110">
        <v>52000</v>
      </c>
      <c r="I117" s="110">
        <v>11142.12</v>
      </c>
      <c r="J117" s="25">
        <f t="shared" si="21"/>
        <v>6.963825</v>
      </c>
      <c r="K117" s="6"/>
      <c r="L117" s="110"/>
      <c r="M117" s="111"/>
      <c r="N117" s="127"/>
      <c r="O117" s="125"/>
      <c r="P117" s="6"/>
      <c r="Q117" s="6"/>
      <c r="R117" s="110">
        <f t="shared" si="15"/>
        <v>160000</v>
      </c>
      <c r="S117" s="110">
        <f t="shared" si="16"/>
        <v>52000</v>
      </c>
      <c r="T117" s="113">
        <f t="shared" si="17"/>
        <v>11142.12</v>
      </c>
      <c r="U117" s="113">
        <f t="shared" si="18"/>
        <v>0</v>
      </c>
      <c r="V117" s="26">
        <f t="shared" si="19"/>
        <v>6.963825</v>
      </c>
    </row>
    <row r="118" spans="1:22" s="17" customFormat="1" ht="51.75" customHeight="1">
      <c r="A118" s="17">
        <v>5</v>
      </c>
      <c r="B118" s="17">
        <v>26</v>
      </c>
      <c r="C118" s="23" t="s">
        <v>139</v>
      </c>
      <c r="D118" s="23" t="s">
        <v>49</v>
      </c>
      <c r="E118" s="23" t="s">
        <v>42</v>
      </c>
      <c r="F118" s="24" t="s">
        <v>432</v>
      </c>
      <c r="G118" s="110">
        <v>287300</v>
      </c>
      <c r="H118" s="110">
        <v>72000</v>
      </c>
      <c r="I118" s="110">
        <v>69214.03</v>
      </c>
      <c r="J118" s="25">
        <f t="shared" si="21"/>
        <v>24.091204316045946</v>
      </c>
      <c r="K118" s="1"/>
      <c r="L118" s="110"/>
      <c r="M118" s="110"/>
      <c r="N118" s="128"/>
      <c r="O118" s="124"/>
      <c r="P118" s="1"/>
      <c r="Q118" s="1"/>
      <c r="R118" s="110">
        <f t="shared" si="15"/>
        <v>287300</v>
      </c>
      <c r="S118" s="110">
        <f t="shared" si="16"/>
        <v>72000</v>
      </c>
      <c r="T118" s="113">
        <f t="shared" si="17"/>
        <v>69214.03</v>
      </c>
      <c r="U118" s="113">
        <f t="shared" si="18"/>
        <v>0</v>
      </c>
      <c r="V118" s="26">
        <f t="shared" si="19"/>
        <v>24.091204316045946</v>
      </c>
    </row>
    <row r="119" spans="1:22" s="17" customFormat="1" ht="36.75" customHeight="1">
      <c r="A119" s="17">
        <v>7</v>
      </c>
      <c r="B119" s="17">
        <v>28</v>
      </c>
      <c r="C119" s="23" t="s">
        <v>140</v>
      </c>
      <c r="D119" s="23" t="s">
        <v>50</v>
      </c>
      <c r="E119" s="23" t="s">
        <v>46</v>
      </c>
      <c r="F119" s="41" t="s">
        <v>433</v>
      </c>
      <c r="G119" s="110">
        <v>32800</v>
      </c>
      <c r="H119" s="110">
        <v>15104</v>
      </c>
      <c r="I119" s="110">
        <v>13104</v>
      </c>
      <c r="J119" s="25">
        <f t="shared" si="21"/>
        <v>39.951219512195124</v>
      </c>
      <c r="K119" s="1"/>
      <c r="L119" s="110"/>
      <c r="M119" s="110"/>
      <c r="N119" s="128"/>
      <c r="O119" s="124"/>
      <c r="P119" s="1"/>
      <c r="Q119" s="1"/>
      <c r="R119" s="110">
        <f t="shared" si="15"/>
        <v>32800</v>
      </c>
      <c r="S119" s="110">
        <f t="shared" si="16"/>
        <v>15104</v>
      </c>
      <c r="T119" s="113">
        <f t="shared" si="17"/>
        <v>13104</v>
      </c>
      <c r="U119" s="113">
        <f t="shared" si="18"/>
        <v>0</v>
      </c>
      <c r="V119" s="26">
        <f t="shared" si="19"/>
        <v>39.951219512195124</v>
      </c>
    </row>
    <row r="120" spans="3:22" s="17" customFormat="1" ht="53.25" customHeight="1">
      <c r="C120" s="23" t="s">
        <v>141</v>
      </c>
      <c r="D120" s="23" t="s">
        <v>51</v>
      </c>
      <c r="E120" s="23" t="s">
        <v>36</v>
      </c>
      <c r="F120" s="41" t="s">
        <v>348</v>
      </c>
      <c r="G120" s="114">
        <f>SUM(G121:G123)</f>
        <v>6952790</v>
      </c>
      <c r="H120" s="114">
        <f>SUM(H121:H123)</f>
        <v>1627982</v>
      </c>
      <c r="I120" s="114">
        <f>SUM(I121:I123)</f>
        <v>1517284.75</v>
      </c>
      <c r="J120" s="25">
        <f t="shared" si="21"/>
        <v>21.82267478235356</v>
      </c>
      <c r="K120" s="5">
        <f>SUM(K121:K123)</f>
        <v>0</v>
      </c>
      <c r="L120" s="110">
        <f>SUM(L121:L123)</f>
        <v>1034550</v>
      </c>
      <c r="M120" s="110">
        <f>SUM(M121:M123)</f>
        <v>169550</v>
      </c>
      <c r="N120" s="110">
        <f>SUM(N121:N123)</f>
        <v>45396.34</v>
      </c>
      <c r="O120" s="126">
        <f>SUM(O121:O123)</f>
        <v>0</v>
      </c>
      <c r="P120" s="25">
        <f>N120/L120*100</f>
        <v>4.38802764486975</v>
      </c>
      <c r="Q120" s="5">
        <f>SUM(Q121:Q123)</f>
        <v>0</v>
      </c>
      <c r="R120" s="110">
        <f t="shared" si="15"/>
        <v>7987340</v>
      </c>
      <c r="S120" s="110">
        <f t="shared" si="16"/>
        <v>1797532</v>
      </c>
      <c r="T120" s="113">
        <f t="shared" si="17"/>
        <v>1562681.09</v>
      </c>
      <c r="U120" s="113">
        <f t="shared" si="18"/>
        <v>0</v>
      </c>
      <c r="V120" s="26">
        <f t="shared" si="19"/>
        <v>19.564474405747095</v>
      </c>
    </row>
    <row r="121" spans="3:22" s="20" customFormat="1" ht="59.25" customHeight="1">
      <c r="C121" s="27"/>
      <c r="D121" s="27"/>
      <c r="E121" s="27"/>
      <c r="F121" s="28" t="s">
        <v>89</v>
      </c>
      <c r="G121" s="110">
        <v>6939600</v>
      </c>
      <c r="H121" s="110">
        <v>1614792</v>
      </c>
      <c r="I121" s="116">
        <v>1509837.34</v>
      </c>
      <c r="J121" s="25">
        <f t="shared" si="21"/>
        <v>21.756835264280365</v>
      </c>
      <c r="K121" s="6"/>
      <c r="L121" s="110">
        <f>1034550</f>
        <v>1034550</v>
      </c>
      <c r="M121" s="110">
        <v>169550</v>
      </c>
      <c r="N121" s="110">
        <v>45396.34</v>
      </c>
      <c r="O121" s="124"/>
      <c r="P121" s="25">
        <f>N121/L121*100</f>
        <v>4.38802764486975</v>
      </c>
      <c r="Q121" s="6"/>
      <c r="R121" s="110">
        <f t="shared" si="15"/>
        <v>7974150</v>
      </c>
      <c r="S121" s="110">
        <f t="shared" si="16"/>
        <v>1784342</v>
      </c>
      <c r="T121" s="113">
        <f t="shared" si="17"/>
        <v>1555233.6800000002</v>
      </c>
      <c r="U121" s="113">
        <f t="shared" si="18"/>
        <v>0</v>
      </c>
      <c r="V121" s="26">
        <f t="shared" si="19"/>
        <v>19.503441495331796</v>
      </c>
    </row>
    <row r="122" spans="3:22" s="20" customFormat="1" ht="54.75" customHeight="1">
      <c r="C122" s="27"/>
      <c r="D122" s="27"/>
      <c r="E122" s="27"/>
      <c r="F122" s="28" t="s">
        <v>310</v>
      </c>
      <c r="G122" s="110">
        <v>13190</v>
      </c>
      <c r="H122" s="110">
        <v>13190</v>
      </c>
      <c r="I122" s="116">
        <v>7447.41</v>
      </c>
      <c r="J122" s="25">
        <f t="shared" si="21"/>
        <v>56.46254738438211</v>
      </c>
      <c r="K122" s="6"/>
      <c r="L122" s="110"/>
      <c r="M122" s="110"/>
      <c r="N122" s="110"/>
      <c r="O122" s="124"/>
      <c r="P122" s="25"/>
      <c r="Q122" s="6"/>
      <c r="R122" s="110">
        <f t="shared" si="15"/>
        <v>13190</v>
      </c>
      <c r="S122" s="110">
        <f t="shared" si="16"/>
        <v>13190</v>
      </c>
      <c r="T122" s="113">
        <f t="shared" si="17"/>
        <v>7447.41</v>
      </c>
      <c r="U122" s="113">
        <f t="shared" si="18"/>
        <v>0</v>
      </c>
      <c r="V122" s="26">
        <f t="shared" si="19"/>
        <v>56.46254738438211</v>
      </c>
    </row>
    <row r="123" spans="3:22" s="20" customFormat="1" ht="42" customHeight="1" hidden="1">
      <c r="C123" s="27"/>
      <c r="D123" s="27"/>
      <c r="E123" s="27"/>
      <c r="F123" s="28" t="s">
        <v>344</v>
      </c>
      <c r="G123" s="110"/>
      <c r="H123" s="110"/>
      <c r="I123" s="116"/>
      <c r="J123" s="25" t="e">
        <f t="shared" si="21"/>
        <v>#DIV/0!</v>
      </c>
      <c r="K123" s="6"/>
      <c r="L123" s="110">
        <f>N123+Q123</f>
        <v>0</v>
      </c>
      <c r="M123" s="111"/>
      <c r="N123" s="111"/>
      <c r="O123" s="125"/>
      <c r="P123" s="25"/>
      <c r="Q123" s="6"/>
      <c r="R123" s="110">
        <f t="shared" si="15"/>
        <v>0</v>
      </c>
      <c r="S123" s="110">
        <f t="shared" si="16"/>
        <v>0</v>
      </c>
      <c r="T123" s="113">
        <f t="shared" si="17"/>
        <v>0</v>
      </c>
      <c r="U123" s="113">
        <f t="shared" si="18"/>
        <v>0</v>
      </c>
      <c r="V123" s="26" t="e">
        <f t="shared" si="19"/>
        <v>#DIV/0!</v>
      </c>
    </row>
    <row r="124" spans="3:22" s="17" customFormat="1" ht="45" customHeight="1">
      <c r="C124" s="23" t="s">
        <v>279</v>
      </c>
      <c r="D124" s="23" t="s">
        <v>143</v>
      </c>
      <c r="E124" s="23" t="s">
        <v>43</v>
      </c>
      <c r="F124" s="41" t="s">
        <v>142</v>
      </c>
      <c r="G124" s="114">
        <f>SUM(G125:G127)</f>
        <v>1591200</v>
      </c>
      <c r="H124" s="114">
        <f>SUM(H125:H127)</f>
        <v>451590</v>
      </c>
      <c r="I124" s="114">
        <f>SUM(I125:I127)</f>
        <v>376590.97</v>
      </c>
      <c r="J124" s="25">
        <f t="shared" si="21"/>
        <v>23.6671047008547</v>
      </c>
      <c r="K124" s="5">
        <f aca="true" t="shared" si="27" ref="K124:Q124">SUM(K125:K126)</f>
        <v>0</v>
      </c>
      <c r="L124" s="114">
        <f t="shared" si="27"/>
        <v>0</v>
      </c>
      <c r="M124" s="114">
        <f t="shared" si="27"/>
        <v>0</v>
      </c>
      <c r="N124" s="114">
        <f t="shared" si="27"/>
        <v>0</v>
      </c>
      <c r="O124" s="126">
        <f t="shared" si="27"/>
        <v>0</v>
      </c>
      <c r="P124" s="25"/>
      <c r="Q124" s="5">
        <f t="shared" si="27"/>
        <v>0</v>
      </c>
      <c r="R124" s="110">
        <f aca="true" t="shared" si="28" ref="R124:R200">G124+L124</f>
        <v>1591200</v>
      </c>
      <c r="S124" s="110">
        <f aca="true" t="shared" si="29" ref="S124:S200">H124+M124</f>
        <v>451590</v>
      </c>
      <c r="T124" s="113">
        <f aca="true" t="shared" si="30" ref="T124:T200">I124+N124</f>
        <v>376590.97</v>
      </c>
      <c r="U124" s="113">
        <f aca="true" t="shared" si="31" ref="U124:U200">O124</f>
        <v>0</v>
      </c>
      <c r="V124" s="26">
        <f aca="true" t="shared" si="32" ref="V124:V200">T124/R124*100</f>
        <v>23.6671047008547</v>
      </c>
    </row>
    <row r="125" spans="3:22" s="20" customFormat="1" ht="26.25" customHeight="1">
      <c r="C125" s="27"/>
      <c r="D125" s="27"/>
      <c r="E125" s="27"/>
      <c r="F125" s="28" t="s">
        <v>144</v>
      </c>
      <c r="G125" s="110">
        <v>1506800</v>
      </c>
      <c r="H125" s="110">
        <v>388590</v>
      </c>
      <c r="I125" s="110">
        <v>342590.97</v>
      </c>
      <c r="J125" s="25">
        <f t="shared" si="21"/>
        <v>22.736326652508627</v>
      </c>
      <c r="K125" s="6"/>
      <c r="L125" s="110"/>
      <c r="M125" s="111"/>
      <c r="N125" s="111"/>
      <c r="O125" s="125"/>
      <c r="P125" s="25"/>
      <c r="Q125" s="6"/>
      <c r="R125" s="110">
        <f t="shared" si="28"/>
        <v>1506800</v>
      </c>
      <c r="S125" s="110">
        <f t="shared" si="29"/>
        <v>388590</v>
      </c>
      <c r="T125" s="113">
        <f t="shared" si="30"/>
        <v>342590.97</v>
      </c>
      <c r="U125" s="113">
        <f t="shared" si="31"/>
        <v>0</v>
      </c>
      <c r="V125" s="26">
        <f t="shared" si="32"/>
        <v>22.736326652508627</v>
      </c>
    </row>
    <row r="126" spans="3:22" s="20" customFormat="1" ht="45" customHeight="1">
      <c r="C126" s="27"/>
      <c r="D126" s="27"/>
      <c r="E126" s="27"/>
      <c r="F126" s="28" t="s">
        <v>145</v>
      </c>
      <c r="G126" s="110">
        <v>74400</v>
      </c>
      <c r="H126" s="110">
        <v>53000</v>
      </c>
      <c r="I126" s="110">
        <v>34000</v>
      </c>
      <c r="J126" s="25">
        <f t="shared" si="21"/>
        <v>45.69892473118279</v>
      </c>
      <c r="K126" s="6"/>
      <c r="L126" s="110"/>
      <c r="M126" s="111"/>
      <c r="N126" s="111"/>
      <c r="O126" s="125"/>
      <c r="P126" s="25"/>
      <c r="Q126" s="6"/>
      <c r="R126" s="110">
        <f t="shared" si="28"/>
        <v>74400</v>
      </c>
      <c r="S126" s="110">
        <f t="shared" si="29"/>
        <v>53000</v>
      </c>
      <c r="T126" s="113">
        <f t="shared" si="30"/>
        <v>34000</v>
      </c>
      <c r="U126" s="113">
        <f t="shared" si="31"/>
        <v>0</v>
      </c>
      <c r="V126" s="26">
        <f t="shared" si="32"/>
        <v>45.69892473118279</v>
      </c>
    </row>
    <row r="127" spans="3:22" s="20" customFormat="1" ht="48.75" customHeight="1">
      <c r="C127" s="27"/>
      <c r="D127" s="27"/>
      <c r="E127" s="27"/>
      <c r="F127" s="28" t="s">
        <v>310</v>
      </c>
      <c r="G127" s="110">
        <v>10000</v>
      </c>
      <c r="H127" s="110">
        <v>10000</v>
      </c>
      <c r="I127" s="110"/>
      <c r="J127" s="25">
        <f t="shared" si="21"/>
        <v>0</v>
      </c>
      <c r="K127" s="6"/>
      <c r="L127" s="110"/>
      <c r="M127" s="127"/>
      <c r="N127" s="127"/>
      <c r="O127" s="125"/>
      <c r="P127" s="25"/>
      <c r="Q127" s="6"/>
      <c r="R127" s="110">
        <f t="shared" si="28"/>
        <v>10000</v>
      </c>
      <c r="S127" s="110">
        <f t="shared" si="29"/>
        <v>10000</v>
      </c>
      <c r="T127" s="113">
        <f t="shared" si="30"/>
        <v>0</v>
      </c>
      <c r="U127" s="113">
        <f t="shared" si="31"/>
        <v>0</v>
      </c>
      <c r="V127" s="26">
        <f t="shared" si="32"/>
        <v>0</v>
      </c>
    </row>
    <row r="128" spans="1:22" s="17" customFormat="1" ht="78" customHeight="1">
      <c r="A128" s="17">
        <v>9</v>
      </c>
      <c r="B128" s="17">
        <v>30</v>
      </c>
      <c r="C128" s="23" t="s">
        <v>147</v>
      </c>
      <c r="D128" s="23" t="s">
        <v>148</v>
      </c>
      <c r="E128" s="23" t="s">
        <v>34</v>
      </c>
      <c r="F128" s="41" t="s">
        <v>240</v>
      </c>
      <c r="G128" s="114">
        <f>G129</f>
        <v>200000</v>
      </c>
      <c r="H128" s="114">
        <f>H129</f>
        <v>50600</v>
      </c>
      <c r="I128" s="114">
        <f>I129</f>
        <v>47481.19</v>
      </c>
      <c r="J128" s="25">
        <f aca="true" t="shared" si="33" ref="J128:J161">I128/G128*100</f>
        <v>23.740595</v>
      </c>
      <c r="K128" s="5">
        <f aca="true" t="shared" si="34" ref="K128:Q128">K129</f>
        <v>0</v>
      </c>
      <c r="L128" s="114">
        <f t="shared" si="34"/>
        <v>0</v>
      </c>
      <c r="M128" s="114">
        <f t="shared" si="34"/>
        <v>0</v>
      </c>
      <c r="N128" s="114">
        <f t="shared" si="34"/>
        <v>0</v>
      </c>
      <c r="O128" s="126">
        <f t="shared" si="34"/>
        <v>0</v>
      </c>
      <c r="P128" s="25"/>
      <c r="Q128" s="5">
        <f t="shared" si="34"/>
        <v>0</v>
      </c>
      <c r="R128" s="110">
        <f t="shared" si="28"/>
        <v>200000</v>
      </c>
      <c r="S128" s="110">
        <f t="shared" si="29"/>
        <v>50600</v>
      </c>
      <c r="T128" s="113">
        <f t="shared" si="30"/>
        <v>47481.19</v>
      </c>
      <c r="U128" s="113">
        <f t="shared" si="31"/>
        <v>0</v>
      </c>
      <c r="V128" s="26">
        <f t="shared" si="32"/>
        <v>23.740595</v>
      </c>
    </row>
    <row r="129" spans="3:22" s="20" customFormat="1" ht="30.75" customHeight="1">
      <c r="C129" s="27"/>
      <c r="D129" s="27"/>
      <c r="E129" s="27"/>
      <c r="F129" s="31" t="s">
        <v>292</v>
      </c>
      <c r="G129" s="110">
        <v>200000</v>
      </c>
      <c r="H129" s="110">
        <v>50600</v>
      </c>
      <c r="I129" s="110">
        <v>47481.19</v>
      </c>
      <c r="J129" s="25">
        <f t="shared" si="33"/>
        <v>23.740595</v>
      </c>
      <c r="K129" s="6"/>
      <c r="L129" s="111"/>
      <c r="M129" s="111"/>
      <c r="N129" s="111"/>
      <c r="O129" s="125"/>
      <c r="P129" s="25"/>
      <c r="Q129" s="6"/>
      <c r="R129" s="110">
        <f t="shared" si="28"/>
        <v>200000</v>
      </c>
      <c r="S129" s="110">
        <f t="shared" si="29"/>
        <v>50600</v>
      </c>
      <c r="T129" s="113">
        <f t="shared" si="30"/>
        <v>47481.19</v>
      </c>
      <c r="U129" s="113">
        <f t="shared" si="31"/>
        <v>0</v>
      </c>
      <c r="V129" s="26">
        <f t="shared" si="32"/>
        <v>23.740595</v>
      </c>
    </row>
    <row r="130" spans="3:22" s="17" customFormat="1" ht="60.75" customHeight="1">
      <c r="C130" s="23" t="s">
        <v>243</v>
      </c>
      <c r="D130" s="23" t="s">
        <v>244</v>
      </c>
      <c r="E130" s="23" t="s">
        <v>34</v>
      </c>
      <c r="F130" s="41" t="s">
        <v>434</v>
      </c>
      <c r="G130" s="110">
        <v>12000</v>
      </c>
      <c r="H130" s="110">
        <v>6000</v>
      </c>
      <c r="I130" s="110">
        <v>5912.63</v>
      </c>
      <c r="J130" s="25">
        <f t="shared" si="33"/>
        <v>49.27191666666666</v>
      </c>
      <c r="K130" s="1"/>
      <c r="L130" s="110"/>
      <c r="M130" s="110"/>
      <c r="N130" s="128"/>
      <c r="O130" s="124"/>
      <c r="P130" s="25"/>
      <c r="Q130" s="1"/>
      <c r="R130" s="110">
        <f t="shared" si="28"/>
        <v>12000</v>
      </c>
      <c r="S130" s="110">
        <f t="shared" si="29"/>
        <v>6000</v>
      </c>
      <c r="T130" s="113">
        <f t="shared" si="30"/>
        <v>5912.63</v>
      </c>
      <c r="U130" s="113">
        <f t="shared" si="31"/>
        <v>0</v>
      </c>
      <c r="V130" s="26">
        <f t="shared" si="32"/>
        <v>49.27191666666666</v>
      </c>
    </row>
    <row r="131" spans="3:22" s="17" customFormat="1" ht="49.5" customHeight="1" hidden="1">
      <c r="C131" s="23" t="s">
        <v>241</v>
      </c>
      <c r="D131" s="23" t="s">
        <v>242</v>
      </c>
      <c r="E131" s="23" t="s">
        <v>34</v>
      </c>
      <c r="F131" s="41" t="s">
        <v>288</v>
      </c>
      <c r="G131" s="110">
        <f>H131+K131</f>
        <v>0</v>
      </c>
      <c r="H131" s="110">
        <v>0</v>
      </c>
      <c r="I131" s="110"/>
      <c r="J131" s="25" t="e">
        <f t="shared" si="33"/>
        <v>#DIV/0!</v>
      </c>
      <c r="K131" s="1"/>
      <c r="L131" s="110">
        <f>N131+Q131</f>
        <v>0</v>
      </c>
      <c r="M131" s="110"/>
      <c r="N131" s="128"/>
      <c r="O131" s="124"/>
      <c r="P131" s="25"/>
      <c r="Q131" s="1"/>
      <c r="R131" s="110">
        <f t="shared" si="28"/>
        <v>0</v>
      </c>
      <c r="S131" s="110">
        <f t="shared" si="29"/>
        <v>0</v>
      </c>
      <c r="T131" s="113">
        <f t="shared" si="30"/>
        <v>0</v>
      </c>
      <c r="U131" s="113">
        <f t="shared" si="31"/>
        <v>0</v>
      </c>
      <c r="V131" s="26" t="e">
        <f t="shared" si="32"/>
        <v>#DIV/0!</v>
      </c>
    </row>
    <row r="132" spans="1:22" s="17" customFormat="1" ht="66" customHeight="1">
      <c r="A132" s="17">
        <v>10</v>
      </c>
      <c r="B132" s="17">
        <v>31</v>
      </c>
      <c r="C132" s="23" t="s">
        <v>146</v>
      </c>
      <c r="D132" s="23" t="s">
        <v>52</v>
      </c>
      <c r="E132" s="23" t="s">
        <v>44</v>
      </c>
      <c r="F132" s="24" t="s">
        <v>245</v>
      </c>
      <c r="G132" s="114">
        <f>G133+G134</f>
        <v>242800</v>
      </c>
      <c r="H132" s="114">
        <f>H133+H134</f>
        <v>61250</v>
      </c>
      <c r="I132" s="114">
        <f aca="true" t="shared" si="35" ref="I132:Q132">I133+I134</f>
        <v>42686.14</v>
      </c>
      <c r="J132" s="25">
        <f t="shared" si="33"/>
        <v>17.580782537067545</v>
      </c>
      <c r="K132" s="5">
        <f t="shared" si="35"/>
        <v>0</v>
      </c>
      <c r="L132" s="114">
        <f t="shared" si="35"/>
        <v>0</v>
      </c>
      <c r="M132" s="114">
        <f t="shared" si="35"/>
        <v>0</v>
      </c>
      <c r="N132" s="114">
        <f t="shared" si="35"/>
        <v>0</v>
      </c>
      <c r="O132" s="126">
        <f t="shared" si="35"/>
        <v>0</v>
      </c>
      <c r="P132" s="25"/>
      <c r="Q132" s="5">
        <f t="shared" si="35"/>
        <v>0</v>
      </c>
      <c r="R132" s="110">
        <f t="shared" si="28"/>
        <v>242800</v>
      </c>
      <c r="S132" s="110">
        <f t="shared" si="29"/>
        <v>61250</v>
      </c>
      <c r="T132" s="113">
        <f t="shared" si="30"/>
        <v>42686.14</v>
      </c>
      <c r="U132" s="113">
        <f t="shared" si="31"/>
        <v>0</v>
      </c>
      <c r="V132" s="26">
        <f t="shared" si="32"/>
        <v>17.580782537067545</v>
      </c>
    </row>
    <row r="133" spans="3:22" s="20" customFormat="1" ht="26.25" customHeight="1">
      <c r="C133" s="27"/>
      <c r="D133" s="27"/>
      <c r="E133" s="27"/>
      <c r="F133" s="31" t="s">
        <v>292</v>
      </c>
      <c r="G133" s="110">
        <v>114000</v>
      </c>
      <c r="H133" s="110">
        <v>28250</v>
      </c>
      <c r="I133" s="110">
        <v>23691.23</v>
      </c>
      <c r="J133" s="25">
        <f t="shared" si="33"/>
        <v>20.781780701754386</v>
      </c>
      <c r="K133" s="6"/>
      <c r="L133" s="110"/>
      <c r="M133" s="111"/>
      <c r="N133" s="111"/>
      <c r="O133" s="125"/>
      <c r="P133" s="25"/>
      <c r="Q133" s="6"/>
      <c r="R133" s="110">
        <f t="shared" si="28"/>
        <v>114000</v>
      </c>
      <c r="S133" s="110">
        <f t="shared" si="29"/>
        <v>28250</v>
      </c>
      <c r="T133" s="113">
        <f t="shared" si="30"/>
        <v>23691.23</v>
      </c>
      <c r="U133" s="113">
        <f t="shared" si="31"/>
        <v>0</v>
      </c>
      <c r="V133" s="26">
        <f t="shared" si="32"/>
        <v>20.781780701754386</v>
      </c>
    </row>
    <row r="134" spans="3:22" s="20" customFormat="1" ht="36.75" customHeight="1">
      <c r="C134" s="27"/>
      <c r="D134" s="27"/>
      <c r="E134" s="27"/>
      <c r="F134" s="31" t="s">
        <v>406</v>
      </c>
      <c r="G134" s="110">
        <v>128800</v>
      </c>
      <c r="H134" s="110">
        <v>33000</v>
      </c>
      <c r="I134" s="110">
        <v>18994.91</v>
      </c>
      <c r="J134" s="25">
        <f t="shared" si="33"/>
        <v>14.747600931677018</v>
      </c>
      <c r="K134" s="6"/>
      <c r="L134" s="110"/>
      <c r="M134" s="111"/>
      <c r="N134" s="111"/>
      <c r="O134" s="125"/>
      <c r="P134" s="25"/>
      <c r="Q134" s="6"/>
      <c r="R134" s="110">
        <f t="shared" si="28"/>
        <v>128800</v>
      </c>
      <c r="S134" s="110">
        <f t="shared" si="29"/>
        <v>33000</v>
      </c>
      <c r="T134" s="113">
        <f t="shared" si="30"/>
        <v>18994.91</v>
      </c>
      <c r="U134" s="113">
        <f t="shared" si="31"/>
        <v>0</v>
      </c>
      <c r="V134" s="26">
        <f t="shared" si="32"/>
        <v>14.747600931677018</v>
      </c>
    </row>
    <row r="135" spans="3:22" s="17" customFormat="1" ht="33" customHeight="1">
      <c r="C135" s="23" t="s">
        <v>247</v>
      </c>
      <c r="D135" s="23" t="s">
        <v>246</v>
      </c>
      <c r="E135" s="23" t="s">
        <v>46</v>
      </c>
      <c r="F135" s="24" t="s">
        <v>149</v>
      </c>
      <c r="G135" s="114">
        <f>SUM(G136:G140)</f>
        <v>1592400</v>
      </c>
      <c r="H135" s="114">
        <f>SUM(H136:H140)</f>
        <v>347500</v>
      </c>
      <c r="I135" s="114">
        <f aca="true" t="shared" si="36" ref="I135:Q135">SUM(I136:I140)</f>
        <v>233218.37</v>
      </c>
      <c r="J135" s="25">
        <f t="shared" si="33"/>
        <v>14.645715272544587</v>
      </c>
      <c r="K135" s="5">
        <f t="shared" si="36"/>
        <v>0</v>
      </c>
      <c r="L135" s="114">
        <f t="shared" si="36"/>
        <v>0</v>
      </c>
      <c r="M135" s="114">
        <f t="shared" si="36"/>
        <v>0</v>
      </c>
      <c r="N135" s="114">
        <f t="shared" si="36"/>
        <v>0</v>
      </c>
      <c r="O135" s="126">
        <f t="shared" si="36"/>
        <v>0</v>
      </c>
      <c r="P135" s="25"/>
      <c r="Q135" s="5">
        <f t="shared" si="36"/>
        <v>0</v>
      </c>
      <c r="R135" s="110">
        <f t="shared" si="28"/>
        <v>1592400</v>
      </c>
      <c r="S135" s="110">
        <f t="shared" si="29"/>
        <v>347500</v>
      </c>
      <c r="T135" s="113">
        <f t="shared" si="30"/>
        <v>233218.37</v>
      </c>
      <c r="U135" s="113">
        <f t="shared" si="31"/>
        <v>0</v>
      </c>
      <c r="V135" s="26">
        <f t="shared" si="32"/>
        <v>14.645715272544587</v>
      </c>
    </row>
    <row r="136" spans="3:22" s="20" customFormat="1" ht="29.25" customHeight="1">
      <c r="C136" s="27"/>
      <c r="D136" s="27"/>
      <c r="E136" s="27"/>
      <c r="F136" s="31" t="s">
        <v>435</v>
      </c>
      <c r="G136" s="110">
        <v>386800</v>
      </c>
      <c r="H136" s="117">
        <v>105800</v>
      </c>
      <c r="I136" s="110">
        <v>90800</v>
      </c>
      <c r="J136" s="25">
        <f t="shared" si="33"/>
        <v>23.4746639089969</v>
      </c>
      <c r="K136" s="6"/>
      <c r="L136" s="110"/>
      <c r="M136" s="111"/>
      <c r="N136" s="111"/>
      <c r="O136" s="125"/>
      <c r="P136" s="25"/>
      <c r="Q136" s="6"/>
      <c r="R136" s="110">
        <f t="shared" si="28"/>
        <v>386800</v>
      </c>
      <c r="S136" s="110">
        <f t="shared" si="29"/>
        <v>105800</v>
      </c>
      <c r="T136" s="113">
        <f t="shared" si="30"/>
        <v>90800</v>
      </c>
      <c r="U136" s="113">
        <f t="shared" si="31"/>
        <v>0</v>
      </c>
      <c r="V136" s="26">
        <f t="shared" si="32"/>
        <v>23.4746639089969</v>
      </c>
    </row>
    <row r="137" spans="3:22" s="20" customFormat="1" ht="45" customHeight="1" hidden="1">
      <c r="C137" s="27"/>
      <c r="D137" s="27"/>
      <c r="E137" s="27"/>
      <c r="F137" s="31" t="s">
        <v>345</v>
      </c>
      <c r="G137" s="110">
        <f>H137+K137</f>
        <v>0</v>
      </c>
      <c r="H137" s="118">
        <v>0</v>
      </c>
      <c r="I137" s="110">
        <v>0</v>
      </c>
      <c r="J137" s="25" t="e">
        <f t="shared" si="33"/>
        <v>#DIV/0!</v>
      </c>
      <c r="K137" s="6"/>
      <c r="L137" s="110">
        <f>N137+Q137</f>
        <v>0</v>
      </c>
      <c r="M137" s="111"/>
      <c r="N137" s="111"/>
      <c r="O137" s="125"/>
      <c r="P137" s="25"/>
      <c r="Q137" s="6"/>
      <c r="R137" s="110">
        <f t="shared" si="28"/>
        <v>0</v>
      </c>
      <c r="S137" s="110">
        <f t="shared" si="29"/>
        <v>0</v>
      </c>
      <c r="T137" s="113">
        <f t="shared" si="30"/>
        <v>0</v>
      </c>
      <c r="U137" s="113">
        <f t="shared" si="31"/>
        <v>0</v>
      </c>
      <c r="V137" s="26" t="e">
        <f t="shared" si="32"/>
        <v>#DIV/0!</v>
      </c>
    </row>
    <row r="138" spans="3:22" s="20" customFormat="1" ht="110.25" customHeight="1" hidden="1">
      <c r="C138" s="27"/>
      <c r="D138" s="27"/>
      <c r="E138" s="27"/>
      <c r="F138" s="31" t="s">
        <v>28</v>
      </c>
      <c r="G138" s="110"/>
      <c r="H138" s="118">
        <v>0</v>
      </c>
      <c r="I138" s="110">
        <v>0</v>
      </c>
      <c r="J138" s="25" t="e">
        <f t="shared" si="33"/>
        <v>#DIV/0!</v>
      </c>
      <c r="K138" s="6"/>
      <c r="L138" s="110">
        <f>N138+Q138</f>
        <v>0</v>
      </c>
      <c r="M138" s="111"/>
      <c r="N138" s="111"/>
      <c r="O138" s="125"/>
      <c r="P138" s="25"/>
      <c r="Q138" s="6"/>
      <c r="R138" s="110">
        <f t="shared" si="28"/>
        <v>0</v>
      </c>
      <c r="S138" s="110">
        <f t="shared" si="29"/>
        <v>0</v>
      </c>
      <c r="T138" s="113">
        <f t="shared" si="30"/>
        <v>0</v>
      </c>
      <c r="U138" s="113">
        <f t="shared" si="31"/>
        <v>0</v>
      </c>
      <c r="V138" s="26" t="e">
        <f t="shared" si="32"/>
        <v>#DIV/0!</v>
      </c>
    </row>
    <row r="139" spans="3:22" s="20" customFormat="1" ht="29.25" customHeight="1">
      <c r="C139" s="27"/>
      <c r="D139" s="27"/>
      <c r="E139" s="27"/>
      <c r="F139" s="31" t="s">
        <v>293</v>
      </c>
      <c r="G139" s="110">
        <v>728600</v>
      </c>
      <c r="H139" s="110">
        <v>169000</v>
      </c>
      <c r="I139" s="110">
        <v>109298.37</v>
      </c>
      <c r="J139" s="25">
        <f t="shared" si="33"/>
        <v>15.001148778479276</v>
      </c>
      <c r="K139" s="6"/>
      <c r="L139" s="110"/>
      <c r="M139" s="111"/>
      <c r="N139" s="111"/>
      <c r="O139" s="125"/>
      <c r="P139" s="25"/>
      <c r="Q139" s="6"/>
      <c r="R139" s="110">
        <f t="shared" si="28"/>
        <v>728600</v>
      </c>
      <c r="S139" s="110">
        <f t="shared" si="29"/>
        <v>169000</v>
      </c>
      <c r="T139" s="113">
        <f t="shared" si="30"/>
        <v>109298.37</v>
      </c>
      <c r="U139" s="113">
        <f t="shared" si="31"/>
        <v>0</v>
      </c>
      <c r="V139" s="26">
        <f t="shared" si="32"/>
        <v>15.001148778479276</v>
      </c>
    </row>
    <row r="140" spans="3:22" s="20" customFormat="1" ht="42" customHeight="1">
      <c r="C140" s="27"/>
      <c r="D140" s="27"/>
      <c r="E140" s="27"/>
      <c r="F140" s="31" t="s">
        <v>69</v>
      </c>
      <c r="G140" s="110">
        <v>477000</v>
      </c>
      <c r="H140" s="110">
        <v>72700</v>
      </c>
      <c r="I140" s="110">
        <v>33120</v>
      </c>
      <c r="J140" s="25">
        <f t="shared" si="33"/>
        <v>6.943396226415094</v>
      </c>
      <c r="K140" s="6"/>
      <c r="L140" s="110"/>
      <c r="M140" s="111"/>
      <c r="N140" s="111"/>
      <c r="O140" s="125"/>
      <c r="P140" s="25"/>
      <c r="Q140" s="6"/>
      <c r="R140" s="110">
        <f t="shared" si="28"/>
        <v>477000</v>
      </c>
      <c r="S140" s="110">
        <f t="shared" si="29"/>
        <v>72700</v>
      </c>
      <c r="T140" s="113">
        <f t="shared" si="30"/>
        <v>33120</v>
      </c>
      <c r="U140" s="113">
        <f t="shared" si="31"/>
        <v>0</v>
      </c>
      <c r="V140" s="26">
        <f t="shared" si="32"/>
        <v>6.943396226415094</v>
      </c>
    </row>
    <row r="141" spans="3:22" s="17" customFormat="1" ht="41.25" customHeight="1">
      <c r="C141" s="23" t="s">
        <v>254</v>
      </c>
      <c r="D141" s="23" t="s">
        <v>276</v>
      </c>
      <c r="E141" s="23" t="s">
        <v>46</v>
      </c>
      <c r="F141" s="24" t="s">
        <v>255</v>
      </c>
      <c r="G141" s="114">
        <f>SUM(G142:G144)</f>
        <v>342800</v>
      </c>
      <c r="H141" s="114">
        <f>SUM(H142:H144)</f>
        <v>98052</v>
      </c>
      <c r="I141" s="114">
        <f>SUM(I142:I144)</f>
        <v>76089.04000000001</v>
      </c>
      <c r="J141" s="25">
        <f t="shared" si="33"/>
        <v>22.196336056009336</v>
      </c>
      <c r="K141" s="5">
        <f aca="true" t="shared" si="37" ref="K141:Q141">SUM(K142:K143)</f>
        <v>0</v>
      </c>
      <c r="L141" s="114">
        <f t="shared" si="37"/>
        <v>0</v>
      </c>
      <c r="M141" s="114">
        <f t="shared" si="37"/>
        <v>0</v>
      </c>
      <c r="N141" s="114">
        <f t="shared" si="37"/>
        <v>0</v>
      </c>
      <c r="O141" s="126">
        <f t="shared" si="37"/>
        <v>0</v>
      </c>
      <c r="P141" s="25"/>
      <c r="Q141" s="5">
        <f t="shared" si="37"/>
        <v>0</v>
      </c>
      <c r="R141" s="110">
        <f t="shared" si="28"/>
        <v>342800</v>
      </c>
      <c r="S141" s="110">
        <f t="shared" si="29"/>
        <v>98052</v>
      </c>
      <c r="T141" s="113">
        <f t="shared" si="30"/>
        <v>76089.04000000001</v>
      </c>
      <c r="U141" s="113">
        <f t="shared" si="31"/>
        <v>0</v>
      </c>
      <c r="V141" s="26">
        <f t="shared" si="32"/>
        <v>22.196336056009336</v>
      </c>
    </row>
    <row r="142" spans="3:22" s="20" customFormat="1" ht="144.75" customHeight="1">
      <c r="C142" s="27"/>
      <c r="D142" s="27"/>
      <c r="E142" s="27"/>
      <c r="F142" s="31" t="s">
        <v>404</v>
      </c>
      <c r="G142" s="110">
        <f>70700+52000+87700+64500</f>
        <v>274900</v>
      </c>
      <c r="H142" s="110">
        <f>22606+16048+22526+17296</f>
        <v>78476</v>
      </c>
      <c r="I142" s="110">
        <f>14282.52+14748+19146.31+12764.75</f>
        <v>60941.58</v>
      </c>
      <c r="J142" s="25">
        <f t="shared" si="33"/>
        <v>22.168635867588215</v>
      </c>
      <c r="K142" s="6"/>
      <c r="L142" s="110"/>
      <c r="M142" s="111"/>
      <c r="N142" s="111"/>
      <c r="O142" s="125"/>
      <c r="P142" s="25"/>
      <c r="Q142" s="6"/>
      <c r="R142" s="110">
        <f aca="true" t="shared" si="38" ref="R142:T144">G142+L142</f>
        <v>274900</v>
      </c>
      <c r="S142" s="110">
        <f t="shared" si="38"/>
        <v>78476</v>
      </c>
      <c r="T142" s="113">
        <f t="shared" si="38"/>
        <v>60941.58</v>
      </c>
      <c r="U142" s="113">
        <f>O142</f>
        <v>0</v>
      </c>
      <c r="V142" s="26">
        <f>T142/R142*100</f>
        <v>22.168635867588215</v>
      </c>
    </row>
    <row r="143" spans="3:22" s="20" customFormat="1" ht="53.25" customHeight="1">
      <c r="C143" s="27"/>
      <c r="D143" s="27"/>
      <c r="E143" s="27"/>
      <c r="F143" s="31" t="s">
        <v>405</v>
      </c>
      <c r="G143" s="110">
        <v>67900</v>
      </c>
      <c r="H143" s="110">
        <v>19576</v>
      </c>
      <c r="I143" s="110">
        <v>15147.46</v>
      </c>
      <c r="J143" s="25">
        <f t="shared" si="33"/>
        <v>22.308483063328424</v>
      </c>
      <c r="K143" s="6"/>
      <c r="L143" s="110"/>
      <c r="M143" s="111"/>
      <c r="N143" s="111"/>
      <c r="O143" s="125"/>
      <c r="P143" s="25"/>
      <c r="Q143" s="6"/>
      <c r="R143" s="110">
        <f t="shared" si="38"/>
        <v>67900</v>
      </c>
      <c r="S143" s="110">
        <f t="shared" si="38"/>
        <v>19576</v>
      </c>
      <c r="T143" s="113">
        <f t="shared" si="38"/>
        <v>15147.46</v>
      </c>
      <c r="U143" s="113">
        <f>O143</f>
        <v>0</v>
      </c>
      <c r="V143" s="26">
        <f>T143/R143*100</f>
        <v>22.308483063328424</v>
      </c>
    </row>
    <row r="144" spans="3:22" s="20" customFormat="1" ht="30.75" hidden="1">
      <c r="C144" s="27"/>
      <c r="D144" s="27"/>
      <c r="E144" s="27"/>
      <c r="F144" s="28" t="s">
        <v>344</v>
      </c>
      <c r="G144" s="110"/>
      <c r="H144" s="110"/>
      <c r="I144" s="110"/>
      <c r="J144" s="25" t="e">
        <f t="shared" si="33"/>
        <v>#DIV/0!</v>
      </c>
      <c r="K144" s="6"/>
      <c r="L144" s="110"/>
      <c r="M144" s="111"/>
      <c r="N144" s="111"/>
      <c r="O144" s="125"/>
      <c r="P144" s="25"/>
      <c r="Q144" s="6"/>
      <c r="R144" s="110">
        <f t="shared" si="38"/>
        <v>0</v>
      </c>
      <c r="S144" s="110">
        <f t="shared" si="38"/>
        <v>0</v>
      </c>
      <c r="T144" s="113">
        <f t="shared" si="38"/>
        <v>0</v>
      </c>
      <c r="U144" s="113">
        <f>O144</f>
        <v>0</v>
      </c>
      <c r="V144" s="26" t="e">
        <f>T144/R144*100</f>
        <v>#DIV/0!</v>
      </c>
    </row>
    <row r="145" spans="3:22" s="17" customFormat="1" ht="38.25" customHeight="1">
      <c r="C145" s="23" t="s">
        <v>277</v>
      </c>
      <c r="D145" s="23" t="s">
        <v>248</v>
      </c>
      <c r="E145" s="23" t="s">
        <v>38</v>
      </c>
      <c r="F145" s="24" t="s">
        <v>278</v>
      </c>
      <c r="G145" s="114">
        <f>SUM(G146:G149)</f>
        <v>2586500</v>
      </c>
      <c r="H145" s="114">
        <f>SUM(H146:H149)</f>
        <v>1071650</v>
      </c>
      <c r="I145" s="114">
        <f>SUM(I146:I149)</f>
        <v>839823.49</v>
      </c>
      <c r="J145" s="25">
        <f t="shared" si="33"/>
        <v>32.469495070558665</v>
      </c>
      <c r="K145" s="5">
        <f aca="true" t="shared" si="39" ref="K145:Q145">SUM(K146:K149)</f>
        <v>0</v>
      </c>
      <c r="L145" s="114">
        <f t="shared" si="39"/>
        <v>0</v>
      </c>
      <c r="M145" s="114">
        <f t="shared" si="39"/>
        <v>0</v>
      </c>
      <c r="N145" s="114">
        <f t="shared" si="39"/>
        <v>0</v>
      </c>
      <c r="O145" s="126">
        <f t="shared" si="39"/>
        <v>0</v>
      </c>
      <c r="P145" s="25"/>
      <c r="Q145" s="5">
        <f t="shared" si="39"/>
        <v>0</v>
      </c>
      <c r="R145" s="110">
        <f t="shared" si="28"/>
        <v>2586500</v>
      </c>
      <c r="S145" s="110">
        <f t="shared" si="29"/>
        <v>1071650</v>
      </c>
      <c r="T145" s="113">
        <f t="shared" si="30"/>
        <v>839823.49</v>
      </c>
      <c r="U145" s="113">
        <f t="shared" si="31"/>
        <v>0</v>
      </c>
      <c r="V145" s="26">
        <f t="shared" si="32"/>
        <v>32.469495070558665</v>
      </c>
    </row>
    <row r="146" spans="3:22" s="20" customFormat="1" ht="27.75" customHeight="1">
      <c r="C146" s="27"/>
      <c r="D146" s="27"/>
      <c r="E146" s="27"/>
      <c r="F146" s="28" t="s">
        <v>436</v>
      </c>
      <c r="G146" s="110">
        <v>88400</v>
      </c>
      <c r="H146" s="110"/>
      <c r="I146" s="111"/>
      <c r="J146" s="25">
        <f t="shared" si="33"/>
        <v>0</v>
      </c>
      <c r="K146" s="6"/>
      <c r="L146" s="110"/>
      <c r="M146" s="111"/>
      <c r="N146" s="111"/>
      <c r="O146" s="125"/>
      <c r="P146" s="25"/>
      <c r="Q146" s="6"/>
      <c r="R146" s="110">
        <f t="shared" si="28"/>
        <v>88400</v>
      </c>
      <c r="S146" s="110">
        <f t="shared" si="29"/>
        <v>0</v>
      </c>
      <c r="T146" s="113">
        <f t="shared" si="30"/>
        <v>0</v>
      </c>
      <c r="U146" s="113">
        <f t="shared" si="31"/>
        <v>0</v>
      </c>
      <c r="V146" s="26">
        <f t="shared" si="32"/>
        <v>0</v>
      </c>
    </row>
    <row r="147" spans="3:22" s="20" customFormat="1" ht="28.5" customHeight="1">
      <c r="C147" s="27"/>
      <c r="D147" s="27"/>
      <c r="E147" s="27"/>
      <c r="F147" s="28" t="s">
        <v>48</v>
      </c>
      <c r="G147" s="110">
        <v>1801600</v>
      </c>
      <c r="H147" s="110">
        <v>424150</v>
      </c>
      <c r="I147" s="110">
        <v>210723.49</v>
      </c>
      <c r="J147" s="25">
        <f t="shared" si="33"/>
        <v>11.69646369893428</v>
      </c>
      <c r="K147" s="6"/>
      <c r="L147" s="110"/>
      <c r="M147" s="111"/>
      <c r="N147" s="111"/>
      <c r="O147" s="125"/>
      <c r="P147" s="25"/>
      <c r="Q147" s="6"/>
      <c r="R147" s="110">
        <f t="shared" si="28"/>
        <v>1801600</v>
      </c>
      <c r="S147" s="110">
        <f t="shared" si="29"/>
        <v>424150</v>
      </c>
      <c r="T147" s="113">
        <f t="shared" si="30"/>
        <v>210723.49</v>
      </c>
      <c r="U147" s="113">
        <f t="shared" si="31"/>
        <v>0</v>
      </c>
      <c r="V147" s="26">
        <f t="shared" si="32"/>
        <v>11.69646369893428</v>
      </c>
    </row>
    <row r="148" spans="3:22" s="20" customFormat="1" ht="39" customHeight="1">
      <c r="C148" s="27"/>
      <c r="D148" s="27"/>
      <c r="E148" s="27"/>
      <c r="F148" s="28" t="s">
        <v>415</v>
      </c>
      <c r="G148" s="110">
        <v>75000</v>
      </c>
      <c r="H148" s="110">
        <v>26000</v>
      </c>
      <c r="I148" s="110">
        <v>7600</v>
      </c>
      <c r="J148" s="25">
        <f t="shared" si="33"/>
        <v>10.133333333333333</v>
      </c>
      <c r="K148" s="6"/>
      <c r="L148" s="110"/>
      <c r="M148" s="111"/>
      <c r="N148" s="111"/>
      <c r="O148" s="125"/>
      <c r="P148" s="25"/>
      <c r="Q148" s="6"/>
      <c r="R148" s="110">
        <f t="shared" si="28"/>
        <v>75000</v>
      </c>
      <c r="S148" s="110">
        <f t="shared" si="29"/>
        <v>26000</v>
      </c>
      <c r="T148" s="113">
        <f t="shared" si="30"/>
        <v>7600</v>
      </c>
      <c r="U148" s="113">
        <f t="shared" si="31"/>
        <v>0</v>
      </c>
      <c r="V148" s="26">
        <f t="shared" si="32"/>
        <v>10.133333333333333</v>
      </c>
    </row>
    <row r="149" spans="3:22" s="20" customFormat="1" ht="37.5" customHeight="1">
      <c r="C149" s="27"/>
      <c r="D149" s="27"/>
      <c r="E149" s="27"/>
      <c r="F149" s="28" t="s">
        <v>302</v>
      </c>
      <c r="G149" s="110">
        <v>621500</v>
      </c>
      <c r="H149" s="110">
        <v>621500</v>
      </c>
      <c r="I149" s="110">
        <v>621500</v>
      </c>
      <c r="J149" s="25">
        <f t="shared" si="33"/>
        <v>100</v>
      </c>
      <c r="K149" s="6"/>
      <c r="L149" s="110">
        <f>N149+Q149</f>
        <v>0</v>
      </c>
      <c r="M149" s="111"/>
      <c r="N149" s="111"/>
      <c r="O149" s="125"/>
      <c r="P149" s="25"/>
      <c r="Q149" s="6"/>
      <c r="R149" s="110">
        <f t="shared" si="28"/>
        <v>621500</v>
      </c>
      <c r="S149" s="110">
        <f t="shared" si="29"/>
        <v>621500</v>
      </c>
      <c r="T149" s="113">
        <f t="shared" si="30"/>
        <v>621500</v>
      </c>
      <c r="U149" s="113">
        <f t="shared" si="31"/>
        <v>0</v>
      </c>
      <c r="V149" s="26">
        <f t="shared" si="32"/>
        <v>100</v>
      </c>
    </row>
    <row r="150" spans="3:22" s="17" customFormat="1" ht="32.25" customHeight="1">
      <c r="C150" s="23" t="s">
        <v>250</v>
      </c>
      <c r="D150" s="23" t="s">
        <v>249</v>
      </c>
      <c r="E150" s="23" t="s">
        <v>53</v>
      </c>
      <c r="F150" s="24" t="s">
        <v>150</v>
      </c>
      <c r="G150" s="114">
        <f>G151</f>
        <v>153000</v>
      </c>
      <c r="H150" s="114">
        <f>H151</f>
        <v>38100</v>
      </c>
      <c r="I150" s="114">
        <f aca="true" t="shared" si="40" ref="I150:Q150">I151</f>
        <v>19846.24</v>
      </c>
      <c r="J150" s="25">
        <f t="shared" si="33"/>
        <v>12.97139869281046</v>
      </c>
      <c r="K150" s="5">
        <f t="shared" si="40"/>
        <v>0</v>
      </c>
      <c r="L150" s="114">
        <f t="shared" si="40"/>
        <v>19847.2</v>
      </c>
      <c r="M150" s="114">
        <f t="shared" si="40"/>
        <v>19847.2</v>
      </c>
      <c r="N150" s="114">
        <f t="shared" si="40"/>
        <v>19846.24</v>
      </c>
      <c r="O150" s="126">
        <f t="shared" si="40"/>
        <v>0</v>
      </c>
      <c r="P150" s="25">
        <f>N150/L150*100</f>
        <v>99.99516304566892</v>
      </c>
      <c r="Q150" s="5">
        <f t="shared" si="40"/>
        <v>0</v>
      </c>
      <c r="R150" s="110">
        <f t="shared" si="28"/>
        <v>172847.2</v>
      </c>
      <c r="S150" s="110">
        <f t="shared" si="29"/>
        <v>57947.2</v>
      </c>
      <c r="T150" s="113">
        <f t="shared" si="30"/>
        <v>39692.48</v>
      </c>
      <c r="U150" s="113">
        <f t="shared" si="31"/>
        <v>0</v>
      </c>
      <c r="V150" s="26">
        <f t="shared" si="32"/>
        <v>22.963912634974708</v>
      </c>
    </row>
    <row r="151" spans="3:22" s="20" customFormat="1" ht="36.75" customHeight="1">
      <c r="C151" s="27"/>
      <c r="D151" s="27"/>
      <c r="E151" s="27"/>
      <c r="F151" s="31" t="s">
        <v>334</v>
      </c>
      <c r="G151" s="110">
        <v>153000</v>
      </c>
      <c r="H151" s="110">
        <v>38100</v>
      </c>
      <c r="I151" s="110">
        <v>19846.24</v>
      </c>
      <c r="J151" s="25">
        <f t="shared" si="33"/>
        <v>12.97139869281046</v>
      </c>
      <c r="K151" s="6"/>
      <c r="L151" s="110">
        <v>19847.2</v>
      </c>
      <c r="M151" s="110">
        <v>19847.2</v>
      </c>
      <c r="N151" s="110">
        <v>19846.24</v>
      </c>
      <c r="O151" s="124">
        <v>0</v>
      </c>
      <c r="P151" s="25">
        <f>N151/L151*100</f>
        <v>99.99516304566892</v>
      </c>
      <c r="Q151" s="6"/>
      <c r="R151" s="110">
        <f t="shared" si="28"/>
        <v>172847.2</v>
      </c>
      <c r="S151" s="110">
        <f t="shared" si="29"/>
        <v>57947.2</v>
      </c>
      <c r="T151" s="113">
        <f t="shared" si="30"/>
        <v>39692.48</v>
      </c>
      <c r="U151" s="113">
        <f t="shared" si="31"/>
        <v>0</v>
      </c>
      <c r="V151" s="26">
        <f t="shared" si="32"/>
        <v>22.963912634974708</v>
      </c>
    </row>
    <row r="152" spans="3:22" s="20" customFormat="1" ht="15">
      <c r="C152" s="27"/>
      <c r="D152" s="27"/>
      <c r="E152" s="27"/>
      <c r="F152" s="140" t="s">
        <v>461</v>
      </c>
      <c r="G152" s="110">
        <f aca="true" t="shared" si="41" ref="G152:I153">G153</f>
        <v>1170181</v>
      </c>
      <c r="H152" s="110">
        <f t="shared" si="41"/>
        <v>60000</v>
      </c>
      <c r="I152" s="110">
        <f t="shared" si="41"/>
        <v>0</v>
      </c>
      <c r="J152" s="25">
        <f t="shared" si="33"/>
        <v>0</v>
      </c>
      <c r="K152" s="6"/>
      <c r="L152" s="110"/>
      <c r="M152" s="110"/>
      <c r="N152" s="110"/>
      <c r="O152" s="124"/>
      <c r="P152" s="25"/>
      <c r="Q152" s="6"/>
      <c r="R152" s="110">
        <f>G152+L152</f>
        <v>1170181</v>
      </c>
      <c r="S152" s="110">
        <f>H152+M152</f>
        <v>60000</v>
      </c>
      <c r="T152" s="113">
        <f>I152+N152</f>
        <v>0</v>
      </c>
      <c r="U152" s="113">
        <f>O152</f>
        <v>0</v>
      </c>
      <c r="V152" s="26">
        <f>T152/R152*100</f>
        <v>0</v>
      </c>
    </row>
    <row r="153" spans="3:22" s="20" customFormat="1" ht="31.5" customHeight="1">
      <c r="C153" s="23" t="s">
        <v>464</v>
      </c>
      <c r="D153" s="143" t="s">
        <v>206</v>
      </c>
      <c r="E153" s="143" t="s">
        <v>68</v>
      </c>
      <c r="F153" s="141" t="s">
        <v>462</v>
      </c>
      <c r="G153" s="110">
        <f t="shared" si="41"/>
        <v>1170181</v>
      </c>
      <c r="H153" s="110">
        <f t="shared" si="41"/>
        <v>60000</v>
      </c>
      <c r="I153" s="110">
        <f t="shared" si="41"/>
        <v>0</v>
      </c>
      <c r="J153" s="25">
        <f t="shared" si="33"/>
        <v>0</v>
      </c>
      <c r="K153" s="1"/>
      <c r="L153" s="110"/>
      <c r="M153" s="111"/>
      <c r="N153" s="111"/>
      <c r="O153" s="125"/>
      <c r="P153" s="25"/>
      <c r="Q153" s="6"/>
      <c r="R153" s="110">
        <f t="shared" si="28"/>
        <v>1170181</v>
      </c>
      <c r="S153" s="110">
        <f t="shared" si="29"/>
        <v>60000</v>
      </c>
      <c r="T153" s="113">
        <f t="shared" si="30"/>
        <v>0</v>
      </c>
      <c r="U153" s="113">
        <f t="shared" si="31"/>
        <v>0</v>
      </c>
      <c r="V153" s="26">
        <f t="shared" si="32"/>
        <v>0</v>
      </c>
    </row>
    <row r="154" spans="3:22" s="20" customFormat="1" ht="46.5">
      <c r="C154" s="27"/>
      <c r="D154" s="27"/>
      <c r="E154" s="27"/>
      <c r="F154" s="96" t="s">
        <v>463</v>
      </c>
      <c r="G154" s="110">
        <v>1170181</v>
      </c>
      <c r="H154" s="110">
        <v>60000</v>
      </c>
      <c r="I154" s="110"/>
      <c r="J154" s="25">
        <f t="shared" si="33"/>
        <v>0</v>
      </c>
      <c r="K154" s="1"/>
      <c r="L154" s="110"/>
      <c r="M154" s="111"/>
      <c r="N154" s="111"/>
      <c r="O154" s="125"/>
      <c r="P154" s="25"/>
      <c r="Q154" s="6"/>
      <c r="R154" s="110">
        <f aca="true" t="shared" si="42" ref="R154:T155">G154+L154</f>
        <v>1170181</v>
      </c>
      <c r="S154" s="110">
        <f t="shared" si="42"/>
        <v>60000</v>
      </c>
      <c r="T154" s="113">
        <f t="shared" si="42"/>
        <v>0</v>
      </c>
      <c r="U154" s="113">
        <f>O154</f>
        <v>0</v>
      </c>
      <c r="V154" s="26">
        <f>T154/R154*100</f>
        <v>0</v>
      </c>
    </row>
    <row r="155" spans="3:22" s="20" customFormat="1" ht="15">
      <c r="C155" s="27"/>
      <c r="D155" s="142"/>
      <c r="E155" s="142"/>
      <c r="F155" s="140" t="s">
        <v>467</v>
      </c>
      <c r="G155" s="110">
        <f>G156+G159</f>
        <v>1540484</v>
      </c>
      <c r="H155" s="110">
        <f>H156+H159</f>
        <v>40484</v>
      </c>
      <c r="I155" s="110">
        <f>I156+I159</f>
        <v>0</v>
      </c>
      <c r="J155" s="25"/>
      <c r="K155" s="1"/>
      <c r="L155" s="110">
        <f>L156+L159</f>
        <v>0</v>
      </c>
      <c r="M155" s="110">
        <f>M156+M159</f>
        <v>0</v>
      </c>
      <c r="N155" s="110">
        <f>N156+N159</f>
        <v>0</v>
      </c>
      <c r="O155" s="110">
        <f>O156+O159</f>
        <v>0</v>
      </c>
      <c r="P155" s="25"/>
      <c r="Q155" s="6"/>
      <c r="R155" s="110">
        <f t="shared" si="42"/>
        <v>1540484</v>
      </c>
      <c r="S155" s="110">
        <f t="shared" si="42"/>
        <v>40484</v>
      </c>
      <c r="T155" s="113">
        <f t="shared" si="42"/>
        <v>0</v>
      </c>
      <c r="U155" s="113">
        <f>O155</f>
        <v>0</v>
      </c>
      <c r="V155" s="26">
        <f>T155/R155*100</f>
        <v>0</v>
      </c>
    </row>
    <row r="156" spans="3:22" s="20" customFormat="1" ht="34.5" customHeight="1">
      <c r="C156" s="23" t="s">
        <v>152</v>
      </c>
      <c r="D156" s="23" t="s">
        <v>153</v>
      </c>
      <c r="E156" s="23" t="s">
        <v>29</v>
      </c>
      <c r="F156" s="41" t="s">
        <v>151</v>
      </c>
      <c r="G156" s="110">
        <f>G157+G158</f>
        <v>1527079</v>
      </c>
      <c r="H156" s="110">
        <f>H157+H158</f>
        <v>27079</v>
      </c>
      <c r="I156" s="110">
        <f>I157+I158</f>
        <v>0</v>
      </c>
      <c r="J156" s="25">
        <f t="shared" si="33"/>
        <v>0</v>
      </c>
      <c r="K156" s="5">
        <f>K158</f>
        <v>0</v>
      </c>
      <c r="L156" s="110">
        <f>L157+L158</f>
        <v>0</v>
      </c>
      <c r="M156" s="110">
        <f>M157+M158</f>
        <v>0</v>
      </c>
      <c r="N156" s="110">
        <f>N157+N158</f>
        <v>0</v>
      </c>
      <c r="O156" s="110">
        <f>O157+O158</f>
        <v>0</v>
      </c>
      <c r="P156" s="25"/>
      <c r="Q156" s="5">
        <f>Q158</f>
        <v>1500000</v>
      </c>
      <c r="R156" s="110">
        <f t="shared" si="28"/>
        <v>1527079</v>
      </c>
      <c r="S156" s="110">
        <f t="shared" si="29"/>
        <v>27079</v>
      </c>
      <c r="T156" s="113">
        <f t="shared" si="30"/>
        <v>0</v>
      </c>
      <c r="U156" s="113">
        <f t="shared" si="31"/>
        <v>0</v>
      </c>
      <c r="V156" s="26">
        <f t="shared" si="32"/>
        <v>0</v>
      </c>
    </row>
    <row r="157" spans="3:22" s="20" customFormat="1" ht="46.5">
      <c r="C157" s="23"/>
      <c r="D157" s="23"/>
      <c r="E157" s="23"/>
      <c r="F157" s="96" t="s">
        <v>463</v>
      </c>
      <c r="G157" s="110">
        <v>27079</v>
      </c>
      <c r="H157" s="114">
        <v>27079</v>
      </c>
      <c r="I157" s="114"/>
      <c r="J157" s="25"/>
      <c r="K157" s="5"/>
      <c r="L157" s="110"/>
      <c r="M157" s="114"/>
      <c r="N157" s="114"/>
      <c r="O157" s="126"/>
      <c r="P157" s="25"/>
      <c r="Q157" s="5"/>
      <c r="R157" s="110">
        <f>G157+L157</f>
        <v>27079</v>
      </c>
      <c r="S157" s="110">
        <f>H157+M157</f>
        <v>27079</v>
      </c>
      <c r="T157" s="113">
        <f>I157+N157</f>
        <v>0</v>
      </c>
      <c r="U157" s="113">
        <f>O157</f>
        <v>0</v>
      </c>
      <c r="V157" s="26">
        <f>T157/R157*100</f>
        <v>0</v>
      </c>
    </row>
    <row r="158" spans="3:22" s="20" customFormat="1" ht="129.75" customHeight="1">
      <c r="C158" s="27"/>
      <c r="D158" s="27"/>
      <c r="E158" s="27"/>
      <c r="F158" s="28" t="s">
        <v>419</v>
      </c>
      <c r="G158" s="110">
        <v>1500000</v>
      </c>
      <c r="H158" s="110"/>
      <c r="I158" s="110"/>
      <c r="J158" s="25">
        <f t="shared" si="33"/>
        <v>0</v>
      </c>
      <c r="K158" s="1"/>
      <c r="L158" s="110"/>
      <c r="M158" s="110"/>
      <c r="N158" s="110"/>
      <c r="O158" s="124"/>
      <c r="P158" s="25"/>
      <c r="Q158" s="1">
        <v>1500000</v>
      </c>
      <c r="R158" s="110">
        <f t="shared" si="28"/>
        <v>1500000</v>
      </c>
      <c r="S158" s="110">
        <f t="shared" si="29"/>
        <v>0</v>
      </c>
      <c r="T158" s="113">
        <f t="shared" si="30"/>
        <v>0</v>
      </c>
      <c r="U158" s="113">
        <f t="shared" si="31"/>
        <v>0</v>
      </c>
      <c r="V158" s="26">
        <f t="shared" si="32"/>
        <v>0</v>
      </c>
    </row>
    <row r="159" spans="3:22" s="20" customFormat="1" ht="30.75">
      <c r="C159" s="23" t="s">
        <v>465</v>
      </c>
      <c r="D159" s="23" t="s">
        <v>111</v>
      </c>
      <c r="E159" s="23" t="s">
        <v>29</v>
      </c>
      <c r="F159" s="144" t="s">
        <v>358</v>
      </c>
      <c r="G159" s="110">
        <f>G160</f>
        <v>13405</v>
      </c>
      <c r="H159" s="110">
        <f>H160</f>
        <v>13405</v>
      </c>
      <c r="I159" s="110">
        <f>I160</f>
        <v>0</v>
      </c>
      <c r="J159" s="25">
        <f t="shared" si="33"/>
        <v>0</v>
      </c>
      <c r="K159" s="1"/>
      <c r="L159" s="110"/>
      <c r="M159" s="110"/>
      <c r="N159" s="110"/>
      <c r="O159" s="124"/>
      <c r="P159" s="25"/>
      <c r="Q159" s="1"/>
      <c r="R159" s="110">
        <f aca="true" t="shared" si="43" ref="R159:T160">G159+L159</f>
        <v>13405</v>
      </c>
      <c r="S159" s="110">
        <f t="shared" si="43"/>
        <v>13405</v>
      </c>
      <c r="T159" s="113">
        <f t="shared" si="43"/>
        <v>0</v>
      </c>
      <c r="U159" s="113">
        <f>O159</f>
        <v>0</v>
      </c>
      <c r="V159" s="26">
        <f>T159/R159*100</f>
        <v>0</v>
      </c>
    </row>
    <row r="160" spans="3:22" s="20" customFormat="1" ht="140.25">
      <c r="C160" s="27"/>
      <c r="D160" s="27"/>
      <c r="E160" s="27"/>
      <c r="F160" s="95" t="s">
        <v>466</v>
      </c>
      <c r="G160" s="110">
        <v>13405</v>
      </c>
      <c r="H160" s="110">
        <v>13405</v>
      </c>
      <c r="I160" s="110"/>
      <c r="J160" s="25">
        <f t="shared" si="33"/>
        <v>0</v>
      </c>
      <c r="K160" s="1"/>
      <c r="L160" s="110"/>
      <c r="M160" s="110"/>
      <c r="N160" s="110"/>
      <c r="O160" s="124"/>
      <c r="P160" s="25"/>
      <c r="Q160" s="1"/>
      <c r="R160" s="110">
        <f t="shared" si="43"/>
        <v>13405</v>
      </c>
      <c r="S160" s="110">
        <f t="shared" si="43"/>
        <v>13405</v>
      </c>
      <c r="T160" s="113">
        <f t="shared" si="43"/>
        <v>0</v>
      </c>
      <c r="U160" s="113">
        <f>O160</f>
        <v>0</v>
      </c>
      <c r="V160" s="26">
        <f>T160/R160*100</f>
        <v>0</v>
      </c>
    </row>
    <row r="161" spans="3:22" s="29" customFormat="1" ht="32.25" customHeight="1">
      <c r="C161" s="18"/>
      <c r="D161" s="18"/>
      <c r="E161" s="18"/>
      <c r="F161" s="46" t="s">
        <v>5</v>
      </c>
      <c r="G161" s="115">
        <f>G82+G85+G108+G155+G153</f>
        <v>55272633.09</v>
      </c>
      <c r="H161" s="115">
        <f>H82+H85+H108+H155+H153</f>
        <v>31152008.09</v>
      </c>
      <c r="I161" s="115">
        <f>I82+I85+I108+I155+I153</f>
        <v>25211588.74</v>
      </c>
      <c r="J161" s="25">
        <f t="shared" si="33"/>
        <v>45.613149456708825</v>
      </c>
      <c r="K161" s="7" t="e">
        <f>K82+K85+K108+#REF!+#REF!+K156+#REF!</f>
        <v>#REF!</v>
      </c>
      <c r="L161" s="115">
        <f>L82+L85+L108+L155+L153</f>
        <v>8686274.56</v>
      </c>
      <c r="M161" s="115">
        <f>M82+M85+M108+M155+M153</f>
        <v>7583374.5600000005</v>
      </c>
      <c r="N161" s="115">
        <f>N82+N85+N108+N155+N153</f>
        <v>4737348.66</v>
      </c>
      <c r="O161" s="115">
        <f>O82+O85+O108+O155+O153</f>
        <v>4672106.08</v>
      </c>
      <c r="P161" s="39">
        <f>N161/L161*100</f>
        <v>54.5383251159862</v>
      </c>
      <c r="Q161" s="7" t="e">
        <f>Q82+Q85+Q108+#REF!+#REF!+Q156</f>
        <v>#REF!</v>
      </c>
      <c r="R161" s="110">
        <f t="shared" si="28"/>
        <v>63958907.650000006</v>
      </c>
      <c r="S161" s="110">
        <f t="shared" si="29"/>
        <v>38735382.65</v>
      </c>
      <c r="T161" s="113">
        <f t="shared" si="30"/>
        <v>29948937.4</v>
      </c>
      <c r="U161" s="113">
        <f t="shared" si="31"/>
        <v>4672106.08</v>
      </c>
      <c r="V161" s="26">
        <f t="shared" si="32"/>
        <v>46.82527969972294</v>
      </c>
    </row>
    <row r="162" spans="3:22" s="29" customFormat="1" ht="30.75" customHeight="1">
      <c r="C162" s="18" t="s">
        <v>100</v>
      </c>
      <c r="D162" s="18"/>
      <c r="E162" s="18"/>
      <c r="F162" s="38" t="s">
        <v>376</v>
      </c>
      <c r="G162" s="115"/>
      <c r="H162" s="115"/>
      <c r="I162" s="115"/>
      <c r="J162" s="7"/>
      <c r="K162" s="7"/>
      <c r="L162" s="115"/>
      <c r="M162" s="115"/>
      <c r="N162" s="115"/>
      <c r="O162" s="130"/>
      <c r="P162" s="7"/>
      <c r="Q162" s="7"/>
      <c r="R162" s="110"/>
      <c r="S162" s="110"/>
      <c r="T162" s="113"/>
      <c r="U162" s="113"/>
      <c r="V162" s="26"/>
    </row>
    <row r="163" spans="3:22" s="20" customFormat="1" ht="30" customHeight="1">
      <c r="C163" s="21" t="s">
        <v>186</v>
      </c>
      <c r="D163" s="27"/>
      <c r="E163" s="27"/>
      <c r="F163" s="61" t="s">
        <v>376</v>
      </c>
      <c r="G163" s="111"/>
      <c r="H163" s="111"/>
      <c r="I163" s="111"/>
      <c r="J163" s="6"/>
      <c r="K163" s="6"/>
      <c r="L163" s="111"/>
      <c r="M163" s="111"/>
      <c r="N163" s="111"/>
      <c r="O163" s="125"/>
      <c r="P163" s="6"/>
      <c r="Q163" s="6"/>
      <c r="R163" s="110"/>
      <c r="S163" s="110"/>
      <c r="T163" s="113"/>
      <c r="U163" s="113"/>
      <c r="V163" s="26"/>
    </row>
    <row r="164" spans="1:22" s="17" customFormat="1" ht="45" customHeight="1">
      <c r="A164" s="17">
        <v>4</v>
      </c>
      <c r="B164" s="17">
        <v>35</v>
      </c>
      <c r="C164" s="23" t="s">
        <v>101</v>
      </c>
      <c r="D164" s="23" t="s">
        <v>33</v>
      </c>
      <c r="E164" s="23" t="s">
        <v>30</v>
      </c>
      <c r="F164" s="41" t="s">
        <v>102</v>
      </c>
      <c r="G164" s="110">
        <f>G165+G166</f>
        <v>2269300</v>
      </c>
      <c r="H164" s="110">
        <f>H165+H166</f>
        <v>714326</v>
      </c>
      <c r="I164" s="110">
        <f>I165+I166</f>
        <v>696991.23</v>
      </c>
      <c r="J164" s="25">
        <f>I164/G164*100</f>
        <v>30.713930727537125</v>
      </c>
      <c r="K164" s="1"/>
      <c r="L164" s="110">
        <f>L165+L166</f>
        <v>8290</v>
      </c>
      <c r="M164" s="110">
        <f>M165+M166</f>
        <v>8290</v>
      </c>
      <c r="N164" s="110">
        <f>N165+N166</f>
        <v>1550.95</v>
      </c>
      <c r="O164" s="110">
        <f>O165+O166</f>
        <v>0</v>
      </c>
      <c r="P164" s="25">
        <f>N164/L164*100</f>
        <v>18.708685162846802</v>
      </c>
      <c r="Q164" s="1"/>
      <c r="R164" s="110">
        <f t="shared" si="28"/>
        <v>2277590</v>
      </c>
      <c r="S164" s="110">
        <f t="shared" si="29"/>
        <v>722616</v>
      </c>
      <c r="T164" s="113">
        <f t="shared" si="30"/>
        <v>698542.1799999999</v>
      </c>
      <c r="U164" s="113">
        <f t="shared" si="31"/>
        <v>0</v>
      </c>
      <c r="V164" s="26">
        <f t="shared" si="32"/>
        <v>30.670233887574145</v>
      </c>
    </row>
    <row r="165" spans="3:22" s="17" customFormat="1" ht="15">
      <c r="C165" s="23"/>
      <c r="D165" s="23"/>
      <c r="E165" s="23"/>
      <c r="F165" s="62" t="s">
        <v>479</v>
      </c>
      <c r="G165" s="110">
        <v>2264300</v>
      </c>
      <c r="H165" s="110">
        <v>714326</v>
      </c>
      <c r="I165" s="110">
        <v>696991.23</v>
      </c>
      <c r="J165" s="25"/>
      <c r="K165" s="1"/>
      <c r="L165" s="110">
        <v>8290</v>
      </c>
      <c r="M165" s="110">
        <v>8290</v>
      </c>
      <c r="N165" s="110">
        <v>1550.95</v>
      </c>
      <c r="O165" s="124"/>
      <c r="P165" s="25"/>
      <c r="Q165" s="1"/>
      <c r="R165" s="110">
        <f aca="true" t="shared" si="44" ref="R165:T166">G165+L165</f>
        <v>2272590</v>
      </c>
      <c r="S165" s="110">
        <f t="shared" si="44"/>
        <v>722616</v>
      </c>
      <c r="T165" s="113">
        <f t="shared" si="44"/>
        <v>698542.1799999999</v>
      </c>
      <c r="U165" s="113">
        <f>O165</f>
        <v>0</v>
      </c>
      <c r="V165" s="26">
        <f>T165/R165*100</f>
        <v>30.737712477833657</v>
      </c>
    </row>
    <row r="166" spans="3:22" s="17" customFormat="1" ht="45" customHeight="1">
      <c r="C166" s="23"/>
      <c r="D166" s="23"/>
      <c r="E166" s="23"/>
      <c r="F166" s="96" t="s">
        <v>463</v>
      </c>
      <c r="G166" s="110">
        <v>5000</v>
      </c>
      <c r="H166" s="110"/>
      <c r="I166" s="110"/>
      <c r="J166" s="25"/>
      <c r="K166" s="1"/>
      <c r="L166" s="110"/>
      <c r="M166" s="110"/>
      <c r="N166" s="110"/>
      <c r="O166" s="124"/>
      <c r="P166" s="25"/>
      <c r="Q166" s="1"/>
      <c r="R166" s="110">
        <f t="shared" si="44"/>
        <v>5000</v>
      </c>
      <c r="S166" s="110">
        <f t="shared" si="44"/>
        <v>0</v>
      </c>
      <c r="T166" s="113">
        <f t="shared" si="44"/>
        <v>0</v>
      </c>
      <c r="U166" s="113">
        <f>O166</f>
        <v>0</v>
      </c>
      <c r="V166" s="26">
        <f>T166/R166*100</f>
        <v>0</v>
      </c>
    </row>
    <row r="167" spans="3:22" s="29" customFormat="1" ht="38.25" customHeight="1">
      <c r="C167" s="18" t="s">
        <v>209</v>
      </c>
      <c r="D167" s="18" t="s">
        <v>184</v>
      </c>
      <c r="E167" s="18"/>
      <c r="F167" s="19" t="s">
        <v>185</v>
      </c>
      <c r="G167" s="115">
        <f>G172+G168</f>
        <v>5887900</v>
      </c>
      <c r="H167" s="115">
        <f>H172+H168</f>
        <v>1395500</v>
      </c>
      <c r="I167" s="115">
        <f>I172+I168</f>
        <v>1108135.34</v>
      </c>
      <c r="J167" s="39">
        <f aca="true" t="shared" si="45" ref="J167:J174">I167/G167*100</f>
        <v>18.820552998522395</v>
      </c>
      <c r="K167" s="7">
        <f>K172+K168</f>
        <v>0</v>
      </c>
      <c r="L167" s="115">
        <f>L168+L172</f>
        <v>23633</v>
      </c>
      <c r="M167" s="115">
        <f>M168+M172</f>
        <v>23633</v>
      </c>
      <c r="N167" s="115">
        <f>N168+N172</f>
        <v>23633</v>
      </c>
      <c r="O167" s="130">
        <f>O168+O172</f>
        <v>0</v>
      </c>
      <c r="P167" s="25">
        <f>N167/L167*100</f>
        <v>100</v>
      </c>
      <c r="Q167" s="7">
        <f>Q172+Q168</f>
        <v>0</v>
      </c>
      <c r="R167" s="110">
        <f t="shared" si="28"/>
        <v>5911533</v>
      </c>
      <c r="S167" s="110">
        <f t="shared" si="29"/>
        <v>1419133</v>
      </c>
      <c r="T167" s="113">
        <f t="shared" si="30"/>
        <v>1131768.34</v>
      </c>
      <c r="U167" s="113">
        <f t="shared" si="31"/>
        <v>0</v>
      </c>
      <c r="V167" s="26">
        <f t="shared" si="32"/>
        <v>19.145090452848695</v>
      </c>
    </row>
    <row r="168" spans="3:22" s="29" customFormat="1" ht="39" customHeight="1">
      <c r="C168" s="23" t="s">
        <v>386</v>
      </c>
      <c r="D168" s="23" t="s">
        <v>387</v>
      </c>
      <c r="E168" s="23" t="s">
        <v>43</v>
      </c>
      <c r="F168" s="41" t="s">
        <v>418</v>
      </c>
      <c r="G168" s="110">
        <f>G169+G171</f>
        <v>5840900</v>
      </c>
      <c r="H168" s="110">
        <f>H169+H171</f>
        <v>1391000</v>
      </c>
      <c r="I168" s="110">
        <f>I169+I171</f>
        <v>1106520.34</v>
      </c>
      <c r="J168" s="25">
        <f t="shared" si="45"/>
        <v>18.94434659042271</v>
      </c>
      <c r="K168" s="1">
        <f>K169+K171</f>
        <v>0</v>
      </c>
      <c r="L168" s="110">
        <f>SUM(L169:L171)</f>
        <v>23633</v>
      </c>
      <c r="M168" s="110">
        <f>SUM(M169:M171)</f>
        <v>23633</v>
      </c>
      <c r="N168" s="110">
        <f>SUM(N169:N171)</f>
        <v>23633</v>
      </c>
      <c r="O168" s="124">
        <f>SUM(O169:O171)</f>
        <v>0</v>
      </c>
      <c r="P168" s="25">
        <f>N168/L168*100</f>
        <v>100</v>
      </c>
      <c r="Q168" s="1">
        <f>Q169+Q171</f>
        <v>0</v>
      </c>
      <c r="R168" s="110">
        <f t="shared" si="28"/>
        <v>5864533</v>
      </c>
      <c r="S168" s="110">
        <f t="shared" si="29"/>
        <v>1414633</v>
      </c>
      <c r="T168" s="113">
        <f t="shared" si="30"/>
        <v>1130153.34</v>
      </c>
      <c r="U168" s="113">
        <f t="shared" si="31"/>
        <v>0</v>
      </c>
      <c r="V168" s="26">
        <f t="shared" si="32"/>
        <v>19.27098611261971</v>
      </c>
    </row>
    <row r="169" spans="3:22" s="29" customFormat="1" ht="48">
      <c r="C169" s="23"/>
      <c r="D169" s="23"/>
      <c r="E169" s="23"/>
      <c r="F169" s="28" t="s">
        <v>437</v>
      </c>
      <c r="G169" s="110">
        <v>5340900</v>
      </c>
      <c r="H169" s="110">
        <v>1321000</v>
      </c>
      <c r="I169" s="110">
        <v>1106520.34</v>
      </c>
      <c r="J169" s="25">
        <f t="shared" si="45"/>
        <v>20.717862907000693</v>
      </c>
      <c r="K169" s="7"/>
      <c r="L169" s="110"/>
      <c r="M169" s="115"/>
      <c r="N169" s="115"/>
      <c r="O169" s="130"/>
      <c r="P169" s="25"/>
      <c r="Q169" s="7"/>
      <c r="R169" s="110">
        <f t="shared" si="28"/>
        <v>5340900</v>
      </c>
      <c r="S169" s="110">
        <f t="shared" si="29"/>
        <v>1321000</v>
      </c>
      <c r="T169" s="113">
        <f t="shared" si="30"/>
        <v>1106520.34</v>
      </c>
      <c r="U169" s="113">
        <f t="shared" si="31"/>
        <v>0</v>
      </c>
      <c r="V169" s="26">
        <f t="shared" si="32"/>
        <v>20.717862907000693</v>
      </c>
    </row>
    <row r="170" spans="3:22" s="29" customFormat="1" ht="33.75" customHeight="1">
      <c r="C170" s="23"/>
      <c r="D170" s="23"/>
      <c r="E170" s="23"/>
      <c r="F170" s="62" t="s">
        <v>473</v>
      </c>
      <c r="G170" s="110"/>
      <c r="H170" s="110"/>
      <c r="I170" s="110"/>
      <c r="J170" s="25"/>
      <c r="K170" s="7"/>
      <c r="L170" s="110">
        <v>23633</v>
      </c>
      <c r="M170" s="110">
        <v>23633</v>
      </c>
      <c r="N170" s="110">
        <v>23633</v>
      </c>
      <c r="O170" s="124"/>
      <c r="P170" s="25">
        <f>N170/L170*100</f>
        <v>100</v>
      </c>
      <c r="Q170" s="7"/>
      <c r="R170" s="110">
        <f>G170+L170</f>
        <v>23633</v>
      </c>
      <c r="S170" s="110">
        <f>H170+M170</f>
        <v>23633</v>
      </c>
      <c r="T170" s="113">
        <f>I170+N170</f>
        <v>23633</v>
      </c>
      <c r="U170" s="113">
        <f>O170</f>
        <v>0</v>
      </c>
      <c r="V170" s="26">
        <f>T170/R170*100</f>
        <v>100</v>
      </c>
    </row>
    <row r="171" spans="3:22" s="29" customFormat="1" ht="40.5" customHeight="1">
      <c r="C171" s="23"/>
      <c r="D171" s="23"/>
      <c r="E171" s="23"/>
      <c r="F171" s="62" t="s">
        <v>416</v>
      </c>
      <c r="G171" s="110">
        <v>500000</v>
      </c>
      <c r="H171" s="110">
        <v>70000</v>
      </c>
      <c r="I171" s="110"/>
      <c r="J171" s="25">
        <f t="shared" si="45"/>
        <v>0</v>
      </c>
      <c r="K171" s="7"/>
      <c r="L171" s="110"/>
      <c r="M171" s="110"/>
      <c r="N171" s="110"/>
      <c r="O171" s="124"/>
      <c r="P171" s="25" t="e">
        <f>N171/L171*100</f>
        <v>#DIV/0!</v>
      </c>
      <c r="Q171" s="7"/>
      <c r="R171" s="110">
        <f t="shared" si="28"/>
        <v>500000</v>
      </c>
      <c r="S171" s="110">
        <f t="shared" si="29"/>
        <v>70000</v>
      </c>
      <c r="T171" s="113">
        <f t="shared" si="30"/>
        <v>0</v>
      </c>
      <c r="U171" s="113">
        <f t="shared" si="31"/>
        <v>0</v>
      </c>
      <c r="V171" s="26">
        <f t="shared" si="32"/>
        <v>0</v>
      </c>
    </row>
    <row r="172" spans="3:22" s="17" customFormat="1" ht="21.75" customHeight="1">
      <c r="C172" s="23" t="s">
        <v>158</v>
      </c>
      <c r="D172" s="23" t="s">
        <v>54</v>
      </c>
      <c r="E172" s="23" t="s">
        <v>43</v>
      </c>
      <c r="F172" s="41" t="s">
        <v>159</v>
      </c>
      <c r="G172" s="110">
        <f>G173</f>
        <v>47000</v>
      </c>
      <c r="H172" s="110">
        <f>H173</f>
        <v>4500</v>
      </c>
      <c r="I172" s="110">
        <f>I173</f>
        <v>1615</v>
      </c>
      <c r="J172" s="25">
        <f t="shared" si="45"/>
        <v>3.436170212765957</v>
      </c>
      <c r="K172" s="1">
        <f>K173</f>
        <v>0</v>
      </c>
      <c r="L172" s="110"/>
      <c r="M172" s="110"/>
      <c r="N172" s="110"/>
      <c r="O172" s="124"/>
      <c r="P172" s="25"/>
      <c r="Q172" s="1">
        <f>Q173</f>
        <v>0</v>
      </c>
      <c r="R172" s="110">
        <f t="shared" si="28"/>
        <v>47000</v>
      </c>
      <c r="S172" s="110">
        <f t="shared" si="29"/>
        <v>4500</v>
      </c>
      <c r="T172" s="113">
        <f t="shared" si="30"/>
        <v>1615</v>
      </c>
      <c r="U172" s="113">
        <f t="shared" si="31"/>
        <v>0</v>
      </c>
      <c r="V172" s="26">
        <f t="shared" si="32"/>
        <v>3.436170212765957</v>
      </c>
    </row>
    <row r="173" spans="3:22" s="20" customFormat="1" ht="40.5" customHeight="1">
      <c r="C173" s="27"/>
      <c r="D173" s="27"/>
      <c r="E173" s="27"/>
      <c r="F173" s="28" t="s">
        <v>400</v>
      </c>
      <c r="G173" s="110">
        <v>47000</v>
      </c>
      <c r="H173" s="110">
        <v>4500</v>
      </c>
      <c r="I173" s="110">
        <v>1615</v>
      </c>
      <c r="J173" s="25">
        <f t="shared" si="45"/>
        <v>3.436170212765957</v>
      </c>
      <c r="K173" s="6"/>
      <c r="L173" s="111"/>
      <c r="M173" s="111"/>
      <c r="N173" s="111"/>
      <c r="O173" s="125"/>
      <c r="P173" s="25"/>
      <c r="Q173" s="6"/>
      <c r="R173" s="110">
        <f t="shared" si="28"/>
        <v>47000</v>
      </c>
      <c r="S173" s="110">
        <f t="shared" si="29"/>
        <v>4500</v>
      </c>
      <c r="T173" s="113">
        <f t="shared" si="30"/>
        <v>1615</v>
      </c>
      <c r="U173" s="113">
        <f t="shared" si="31"/>
        <v>0</v>
      </c>
      <c r="V173" s="26">
        <f t="shared" si="32"/>
        <v>3.436170212765957</v>
      </c>
    </row>
    <row r="174" spans="3:22" s="29" customFormat="1" ht="29.25" customHeight="1">
      <c r="C174" s="18"/>
      <c r="D174" s="18"/>
      <c r="E174" s="18"/>
      <c r="F174" s="46" t="s">
        <v>5</v>
      </c>
      <c r="G174" s="115">
        <f>G164+G167</f>
        <v>8157200</v>
      </c>
      <c r="H174" s="115">
        <f>H164+H167</f>
        <v>2109826</v>
      </c>
      <c r="I174" s="115">
        <f>I164+I167</f>
        <v>1805126.57</v>
      </c>
      <c r="J174" s="39">
        <f t="shared" si="45"/>
        <v>22.129242509684698</v>
      </c>
      <c r="K174" s="7">
        <f>K164+K167</f>
        <v>0</v>
      </c>
      <c r="L174" s="115">
        <f>L164+L167</f>
        <v>31923</v>
      </c>
      <c r="M174" s="115">
        <f>M164+M167</f>
        <v>31923</v>
      </c>
      <c r="N174" s="115">
        <f>N164+N167</f>
        <v>25183.95</v>
      </c>
      <c r="O174" s="130">
        <f>O164+O167</f>
        <v>0</v>
      </c>
      <c r="P174" s="39">
        <f>N174/L174*100</f>
        <v>78.88967202330608</v>
      </c>
      <c r="Q174" s="7">
        <f>Q164+Q167</f>
        <v>0</v>
      </c>
      <c r="R174" s="110">
        <f t="shared" si="28"/>
        <v>8189123</v>
      </c>
      <c r="S174" s="110">
        <f t="shared" si="29"/>
        <v>2141749</v>
      </c>
      <c r="T174" s="113">
        <f t="shared" si="30"/>
        <v>1830310.52</v>
      </c>
      <c r="U174" s="113">
        <f t="shared" si="31"/>
        <v>0</v>
      </c>
      <c r="V174" s="26">
        <f t="shared" si="32"/>
        <v>22.350507130006473</v>
      </c>
    </row>
    <row r="175" spans="3:22" s="29" customFormat="1" ht="45" customHeight="1">
      <c r="C175" s="18" t="s">
        <v>7</v>
      </c>
      <c r="D175" s="18"/>
      <c r="E175" s="18"/>
      <c r="F175" s="19" t="s">
        <v>438</v>
      </c>
      <c r="G175" s="115"/>
      <c r="H175" s="115"/>
      <c r="I175" s="115"/>
      <c r="J175" s="7"/>
      <c r="K175" s="7"/>
      <c r="L175" s="115"/>
      <c r="M175" s="115"/>
      <c r="N175" s="115"/>
      <c r="O175" s="130"/>
      <c r="P175" s="7"/>
      <c r="Q175" s="7"/>
      <c r="R175" s="110"/>
      <c r="S175" s="110"/>
      <c r="T175" s="113"/>
      <c r="U175" s="113"/>
      <c r="V175" s="26"/>
    </row>
    <row r="176" spans="3:22" s="20" customFormat="1" ht="44.25" customHeight="1">
      <c r="C176" s="21" t="s">
        <v>8</v>
      </c>
      <c r="D176" s="21"/>
      <c r="E176" s="21"/>
      <c r="F176" s="22" t="s">
        <v>375</v>
      </c>
      <c r="G176" s="111"/>
      <c r="H176" s="111"/>
      <c r="I176" s="111"/>
      <c r="J176" s="6"/>
      <c r="K176" s="6"/>
      <c r="L176" s="111"/>
      <c r="M176" s="111"/>
      <c r="N176" s="111"/>
      <c r="O176" s="125"/>
      <c r="P176" s="6"/>
      <c r="Q176" s="6"/>
      <c r="R176" s="110"/>
      <c r="S176" s="110"/>
      <c r="T176" s="113"/>
      <c r="U176" s="113"/>
      <c r="V176" s="26"/>
    </row>
    <row r="177" spans="1:22" s="17" customFormat="1" ht="43.5" customHeight="1">
      <c r="A177" s="17">
        <v>7</v>
      </c>
      <c r="B177" s="17">
        <v>47</v>
      </c>
      <c r="C177" s="23" t="s">
        <v>91</v>
      </c>
      <c r="D177" s="23" t="s">
        <v>33</v>
      </c>
      <c r="E177" s="23" t="s">
        <v>30</v>
      </c>
      <c r="F177" s="41" t="s">
        <v>99</v>
      </c>
      <c r="G177" s="110">
        <f>G178+G179</f>
        <v>2045300</v>
      </c>
      <c r="H177" s="110">
        <f>H178+H179</f>
        <v>476867</v>
      </c>
      <c r="I177" s="110">
        <f>I178+I179</f>
        <v>423736.63</v>
      </c>
      <c r="J177" s="25">
        <f>I177/G177*100</f>
        <v>20.71757835036425</v>
      </c>
      <c r="K177" s="1"/>
      <c r="L177" s="110">
        <f>L178+L179</f>
        <v>0</v>
      </c>
      <c r="M177" s="110">
        <f>M178+M179</f>
        <v>0</v>
      </c>
      <c r="N177" s="110">
        <f>N178+N179</f>
        <v>0</v>
      </c>
      <c r="O177" s="110">
        <f>O178+O179</f>
        <v>0</v>
      </c>
      <c r="P177" s="25"/>
      <c r="Q177" s="1"/>
      <c r="R177" s="110">
        <f t="shared" si="28"/>
        <v>2045300</v>
      </c>
      <c r="S177" s="110">
        <f t="shared" si="29"/>
        <v>476867</v>
      </c>
      <c r="T177" s="113">
        <f t="shared" si="30"/>
        <v>423736.63</v>
      </c>
      <c r="U177" s="113">
        <f t="shared" si="31"/>
        <v>0</v>
      </c>
      <c r="V177" s="26">
        <f t="shared" si="32"/>
        <v>20.71757835036425</v>
      </c>
    </row>
    <row r="178" spans="3:22" s="17" customFormat="1" ht="15">
      <c r="C178" s="23"/>
      <c r="D178" s="23"/>
      <c r="E178" s="23"/>
      <c r="F178" s="62" t="s">
        <v>480</v>
      </c>
      <c r="G178" s="110">
        <v>2040300</v>
      </c>
      <c r="H178" s="110">
        <v>471867</v>
      </c>
      <c r="I178" s="110">
        <v>423736.63</v>
      </c>
      <c r="J178" s="25">
        <f>I178/G178*100</f>
        <v>20.76834926236338</v>
      </c>
      <c r="K178" s="1"/>
      <c r="L178" s="110"/>
      <c r="M178" s="110"/>
      <c r="N178" s="110"/>
      <c r="O178" s="124"/>
      <c r="P178" s="25"/>
      <c r="Q178" s="1"/>
      <c r="R178" s="110">
        <f aca="true" t="shared" si="46" ref="R178:T179">G178+L178</f>
        <v>2040300</v>
      </c>
      <c r="S178" s="110">
        <f t="shared" si="46"/>
        <v>471867</v>
      </c>
      <c r="T178" s="113">
        <f t="shared" si="46"/>
        <v>423736.63</v>
      </c>
      <c r="U178" s="113">
        <f>O178</f>
        <v>0</v>
      </c>
      <c r="V178" s="26">
        <f>T178/R178*100</f>
        <v>20.76834926236338</v>
      </c>
    </row>
    <row r="179" spans="3:22" s="17" customFormat="1" ht="43.5" customHeight="1">
      <c r="C179" s="23"/>
      <c r="D179" s="23"/>
      <c r="E179" s="23"/>
      <c r="F179" s="96" t="s">
        <v>463</v>
      </c>
      <c r="G179" s="110">
        <v>5000</v>
      </c>
      <c r="H179" s="110">
        <v>5000</v>
      </c>
      <c r="I179" s="110"/>
      <c r="J179" s="25">
        <f>I179/G179*100</f>
        <v>0</v>
      </c>
      <c r="K179" s="1"/>
      <c r="L179" s="110"/>
      <c r="M179" s="110"/>
      <c r="N179" s="110"/>
      <c r="O179" s="124"/>
      <c r="P179" s="25"/>
      <c r="Q179" s="1"/>
      <c r="R179" s="110">
        <f t="shared" si="46"/>
        <v>5000</v>
      </c>
      <c r="S179" s="110">
        <f t="shared" si="46"/>
        <v>5000</v>
      </c>
      <c r="T179" s="113">
        <f t="shared" si="46"/>
        <v>0</v>
      </c>
      <c r="U179" s="113">
        <f>O179</f>
        <v>0</v>
      </c>
      <c r="V179" s="26">
        <f>T179/R179*100</f>
        <v>0</v>
      </c>
    </row>
    <row r="180" spans="3:22" s="29" customFormat="1" ht="30" customHeight="1">
      <c r="C180" s="18"/>
      <c r="D180" s="18"/>
      <c r="E180" s="18"/>
      <c r="F180" s="19" t="s">
        <v>182</v>
      </c>
      <c r="G180" s="115">
        <f>G181</f>
        <v>6800900</v>
      </c>
      <c r="H180" s="115">
        <f>H181</f>
        <v>1675555</v>
      </c>
      <c r="I180" s="115">
        <f>I181</f>
        <v>1590274.12</v>
      </c>
      <c r="J180" s="39">
        <f aca="true" t="shared" si="47" ref="J180:J220">I180/G180*100</f>
        <v>23.383289270537723</v>
      </c>
      <c r="K180" s="7">
        <f>K181</f>
        <v>0</v>
      </c>
      <c r="L180" s="115">
        <f>L181</f>
        <v>381510</v>
      </c>
      <c r="M180" s="115">
        <f>M181</f>
        <v>381510</v>
      </c>
      <c r="N180" s="115">
        <f>N181</f>
        <v>101400.06</v>
      </c>
      <c r="O180" s="115">
        <f>O181</f>
        <v>0</v>
      </c>
      <c r="P180" s="39">
        <f>N180/L180*100</f>
        <v>26.578611307698356</v>
      </c>
      <c r="Q180" s="7">
        <f>Q181</f>
        <v>0</v>
      </c>
      <c r="R180" s="110">
        <f t="shared" si="28"/>
        <v>7182410</v>
      </c>
      <c r="S180" s="110">
        <f t="shared" si="29"/>
        <v>2057065</v>
      </c>
      <c r="T180" s="113">
        <f t="shared" si="30"/>
        <v>1691674.1800000002</v>
      </c>
      <c r="U180" s="113">
        <f t="shared" si="31"/>
        <v>0</v>
      </c>
      <c r="V180" s="26">
        <f t="shared" si="32"/>
        <v>23.55301604893065</v>
      </c>
    </row>
    <row r="181" spans="1:22" s="17" customFormat="1" ht="54" customHeight="1">
      <c r="A181" s="17">
        <v>3</v>
      </c>
      <c r="B181" s="17">
        <v>50</v>
      </c>
      <c r="C181" s="23" t="s">
        <v>172</v>
      </c>
      <c r="D181" s="23" t="s">
        <v>210</v>
      </c>
      <c r="E181" s="23" t="s">
        <v>39</v>
      </c>
      <c r="F181" s="24" t="s">
        <v>173</v>
      </c>
      <c r="G181" s="110">
        <f>G182+G183</f>
        <v>6800900</v>
      </c>
      <c r="H181" s="110">
        <f>H182+H183</f>
        <v>1675555</v>
      </c>
      <c r="I181" s="110">
        <f>I182+I183</f>
        <v>1590274.12</v>
      </c>
      <c r="J181" s="25">
        <f t="shared" si="47"/>
        <v>23.383289270537723</v>
      </c>
      <c r="K181" s="1"/>
      <c r="L181" s="110">
        <f>L182</f>
        <v>381510</v>
      </c>
      <c r="M181" s="110">
        <f>M182</f>
        <v>381510</v>
      </c>
      <c r="N181" s="110">
        <f>N182</f>
        <v>101400.06</v>
      </c>
      <c r="O181" s="110">
        <f>O182</f>
        <v>0</v>
      </c>
      <c r="P181" s="25">
        <f>N181/L181*100</f>
        <v>26.578611307698356</v>
      </c>
      <c r="Q181" s="1"/>
      <c r="R181" s="110">
        <f t="shared" si="28"/>
        <v>7182410</v>
      </c>
      <c r="S181" s="110">
        <f t="shared" si="29"/>
        <v>2057065</v>
      </c>
      <c r="T181" s="113">
        <f t="shared" si="30"/>
        <v>1691674.1800000002</v>
      </c>
      <c r="U181" s="113">
        <f t="shared" si="31"/>
        <v>0</v>
      </c>
      <c r="V181" s="26">
        <f t="shared" si="32"/>
        <v>23.55301604893065</v>
      </c>
    </row>
    <row r="182" spans="3:22" s="17" customFormat="1" ht="21.75" customHeight="1">
      <c r="C182" s="23"/>
      <c r="D182" s="23"/>
      <c r="E182" s="23"/>
      <c r="F182" s="95" t="s">
        <v>454</v>
      </c>
      <c r="G182" s="110">
        <v>6791400</v>
      </c>
      <c r="H182" s="110">
        <v>1666055</v>
      </c>
      <c r="I182" s="110">
        <v>1590274.12</v>
      </c>
      <c r="J182" s="25">
        <f t="shared" si="47"/>
        <v>23.41599846865153</v>
      </c>
      <c r="K182" s="1"/>
      <c r="L182" s="110">
        <v>381510</v>
      </c>
      <c r="M182" s="110">
        <v>381510</v>
      </c>
      <c r="N182" s="110">
        <v>101400.06</v>
      </c>
      <c r="O182" s="124"/>
      <c r="P182" s="25"/>
      <c r="Q182" s="1"/>
      <c r="R182" s="110">
        <f aca="true" t="shared" si="48" ref="R182:T183">G182+L182</f>
        <v>7172910</v>
      </c>
      <c r="S182" s="110">
        <f t="shared" si="48"/>
        <v>2047565</v>
      </c>
      <c r="T182" s="113">
        <f t="shared" si="48"/>
        <v>1691674.1800000002</v>
      </c>
      <c r="U182" s="113">
        <f>O182</f>
        <v>0</v>
      </c>
      <c r="V182" s="26">
        <f>T182/R182*100</f>
        <v>23.584210313526867</v>
      </c>
    </row>
    <row r="183" spans="3:22" s="17" customFormat="1" ht="46.5">
      <c r="C183" s="23"/>
      <c r="D183" s="23"/>
      <c r="E183" s="23"/>
      <c r="F183" s="96" t="s">
        <v>463</v>
      </c>
      <c r="G183" s="110">
        <v>9500</v>
      </c>
      <c r="H183" s="110">
        <v>9500</v>
      </c>
      <c r="I183" s="110"/>
      <c r="J183" s="25">
        <f t="shared" si="47"/>
        <v>0</v>
      </c>
      <c r="K183" s="1"/>
      <c r="L183" s="110"/>
      <c r="M183" s="110"/>
      <c r="N183" s="110"/>
      <c r="O183" s="124"/>
      <c r="P183" s="25"/>
      <c r="Q183" s="1"/>
      <c r="R183" s="110">
        <f t="shared" si="48"/>
        <v>9500</v>
      </c>
      <c r="S183" s="110">
        <f t="shared" si="48"/>
        <v>9500</v>
      </c>
      <c r="T183" s="113">
        <f t="shared" si="48"/>
        <v>0</v>
      </c>
      <c r="U183" s="113">
        <f>O183</f>
        <v>0</v>
      </c>
      <c r="V183" s="26">
        <f>T183/R183*100</f>
        <v>0</v>
      </c>
    </row>
    <row r="184" spans="3:22" s="20" customFormat="1" ht="27.75" customHeight="1">
      <c r="C184" s="18"/>
      <c r="D184" s="18"/>
      <c r="E184" s="18"/>
      <c r="F184" s="19" t="s">
        <v>185</v>
      </c>
      <c r="G184" s="115">
        <f aca="true" t="shared" si="49" ref="G184:I185">G185</f>
        <v>141000</v>
      </c>
      <c r="H184" s="115">
        <f t="shared" si="49"/>
        <v>56000</v>
      </c>
      <c r="I184" s="115">
        <f t="shared" si="49"/>
        <v>29804</v>
      </c>
      <c r="J184" s="39">
        <f t="shared" si="47"/>
        <v>21.13758865248227</v>
      </c>
      <c r="K184" s="7">
        <f>K185</f>
        <v>0</v>
      </c>
      <c r="L184" s="115">
        <f>L185</f>
        <v>0</v>
      </c>
      <c r="M184" s="115">
        <f>M185</f>
        <v>0</v>
      </c>
      <c r="N184" s="115">
        <f>N185</f>
        <v>0</v>
      </c>
      <c r="O184" s="115">
        <f>O185</f>
        <v>0</v>
      </c>
      <c r="P184" s="25"/>
      <c r="Q184" s="7">
        <f>Q185</f>
        <v>0</v>
      </c>
      <c r="R184" s="110">
        <f t="shared" si="28"/>
        <v>141000</v>
      </c>
      <c r="S184" s="110">
        <f t="shared" si="29"/>
        <v>56000</v>
      </c>
      <c r="T184" s="113">
        <f t="shared" si="30"/>
        <v>29804</v>
      </c>
      <c r="U184" s="113">
        <f t="shared" si="31"/>
        <v>0</v>
      </c>
      <c r="V184" s="26">
        <f t="shared" si="32"/>
        <v>21.13758865248227</v>
      </c>
    </row>
    <row r="185" spans="3:22" s="17" customFormat="1" ht="30" customHeight="1">
      <c r="C185" s="23" t="s">
        <v>163</v>
      </c>
      <c r="D185" s="23" t="s">
        <v>162</v>
      </c>
      <c r="E185" s="23" t="s">
        <v>43</v>
      </c>
      <c r="F185" s="41" t="s">
        <v>160</v>
      </c>
      <c r="G185" s="110">
        <f t="shared" si="49"/>
        <v>141000</v>
      </c>
      <c r="H185" s="110">
        <f t="shared" si="49"/>
        <v>56000</v>
      </c>
      <c r="I185" s="110">
        <f t="shared" si="49"/>
        <v>29804</v>
      </c>
      <c r="J185" s="25">
        <f t="shared" si="47"/>
        <v>21.13758865248227</v>
      </c>
      <c r="K185" s="1">
        <f>K186</f>
        <v>0</v>
      </c>
      <c r="L185" s="110"/>
      <c r="M185" s="110"/>
      <c r="N185" s="110"/>
      <c r="O185" s="124"/>
      <c r="P185" s="25"/>
      <c r="Q185" s="1">
        <f>Q186</f>
        <v>0</v>
      </c>
      <c r="R185" s="110">
        <f t="shared" si="28"/>
        <v>141000</v>
      </c>
      <c r="S185" s="110">
        <f t="shared" si="29"/>
        <v>56000</v>
      </c>
      <c r="T185" s="113">
        <f t="shared" si="30"/>
        <v>29804</v>
      </c>
      <c r="U185" s="113">
        <f t="shared" si="31"/>
        <v>0</v>
      </c>
      <c r="V185" s="26">
        <f t="shared" si="32"/>
        <v>21.13758865248227</v>
      </c>
    </row>
    <row r="186" spans="3:22" s="20" customFormat="1" ht="42" customHeight="1">
      <c r="C186" s="27"/>
      <c r="D186" s="27"/>
      <c r="E186" s="27"/>
      <c r="F186" s="28" t="s">
        <v>161</v>
      </c>
      <c r="G186" s="110">
        <v>141000</v>
      </c>
      <c r="H186" s="110">
        <v>56000</v>
      </c>
      <c r="I186" s="110">
        <v>29804</v>
      </c>
      <c r="J186" s="25">
        <f t="shared" si="47"/>
        <v>21.13758865248227</v>
      </c>
      <c r="K186" s="6"/>
      <c r="L186" s="111"/>
      <c r="M186" s="111"/>
      <c r="N186" s="127"/>
      <c r="O186" s="125"/>
      <c r="P186" s="25"/>
      <c r="Q186" s="6"/>
      <c r="R186" s="110">
        <f t="shared" si="28"/>
        <v>141000</v>
      </c>
      <c r="S186" s="110">
        <f t="shared" si="29"/>
        <v>56000</v>
      </c>
      <c r="T186" s="113">
        <f t="shared" si="30"/>
        <v>29804</v>
      </c>
      <c r="U186" s="113">
        <f t="shared" si="31"/>
        <v>0</v>
      </c>
      <c r="V186" s="26">
        <f t="shared" si="32"/>
        <v>21.13758865248227</v>
      </c>
    </row>
    <row r="187" spans="3:22" s="29" customFormat="1" ht="27" customHeight="1">
      <c r="C187" s="18"/>
      <c r="D187" s="18"/>
      <c r="E187" s="18"/>
      <c r="F187" s="38" t="s">
        <v>165</v>
      </c>
      <c r="G187" s="115">
        <f>G188+G191+G194+G197+G200</f>
        <v>6702100</v>
      </c>
      <c r="H187" s="115">
        <f>H188+H191+H194+H197+H200</f>
        <v>1387991</v>
      </c>
      <c r="I187" s="115">
        <f>I188+I191+I194+I197+I200</f>
        <v>1150327.33</v>
      </c>
      <c r="J187" s="39">
        <f t="shared" si="47"/>
        <v>17.163684964414138</v>
      </c>
      <c r="K187" s="7">
        <f>SUM(K188:K200)</f>
        <v>0</v>
      </c>
      <c r="L187" s="115">
        <f>L188+L191+L194+L197+L200</f>
        <v>72865.01</v>
      </c>
      <c r="M187" s="115">
        <f>M188+M191+M194+M197+M200</f>
        <v>72865.01</v>
      </c>
      <c r="N187" s="115">
        <f>N188+N191+N194+N197+N200</f>
        <v>72865.01</v>
      </c>
      <c r="O187" s="115">
        <f>O188+O191+O194+O197+O200</f>
        <v>0</v>
      </c>
      <c r="P187" s="39">
        <f>N187/L187*100</f>
        <v>100</v>
      </c>
      <c r="Q187" s="7">
        <f>SUM(Q188:Q200)</f>
        <v>0</v>
      </c>
      <c r="R187" s="110">
        <f t="shared" si="28"/>
        <v>6774965.01</v>
      </c>
      <c r="S187" s="110">
        <f t="shared" si="29"/>
        <v>1460856.01</v>
      </c>
      <c r="T187" s="113">
        <f t="shared" si="30"/>
        <v>1223192.34</v>
      </c>
      <c r="U187" s="113">
        <f t="shared" si="31"/>
        <v>0</v>
      </c>
      <c r="V187" s="26">
        <f t="shared" si="32"/>
        <v>18.054592727704733</v>
      </c>
    </row>
    <row r="188" spans="1:22" s="17" customFormat="1" ht="24" customHeight="1">
      <c r="A188" s="17">
        <v>1</v>
      </c>
      <c r="B188" s="17">
        <v>48</v>
      </c>
      <c r="C188" s="23" t="s">
        <v>167</v>
      </c>
      <c r="D188" s="23" t="s">
        <v>168</v>
      </c>
      <c r="E188" s="23" t="s">
        <v>61</v>
      </c>
      <c r="F188" s="24" t="s">
        <v>166</v>
      </c>
      <c r="G188" s="110">
        <f>G189+G190</f>
        <v>1262300</v>
      </c>
      <c r="H188" s="110">
        <f>H189+H190</f>
        <v>328938</v>
      </c>
      <c r="I188" s="110">
        <f>I189+I190</f>
        <v>294801.71</v>
      </c>
      <c r="J188" s="25">
        <f t="shared" si="47"/>
        <v>23.354330190921335</v>
      </c>
      <c r="K188" s="1"/>
      <c r="L188" s="110">
        <f>L189+L190</f>
        <v>72865.01</v>
      </c>
      <c r="M188" s="110">
        <f>M189+M190</f>
        <v>72865.01</v>
      </c>
      <c r="N188" s="110">
        <f>N189+N190</f>
        <v>72865.01</v>
      </c>
      <c r="O188" s="110">
        <f>O189+O190</f>
        <v>0</v>
      </c>
      <c r="P188" s="25">
        <f>N188/L188*100</f>
        <v>100</v>
      </c>
      <c r="Q188" s="1"/>
      <c r="R188" s="110">
        <f t="shared" si="28"/>
        <v>1335165.01</v>
      </c>
      <c r="S188" s="110">
        <f t="shared" si="29"/>
        <v>401803.01</v>
      </c>
      <c r="T188" s="113">
        <f t="shared" si="30"/>
        <v>367666.72000000003</v>
      </c>
      <c r="U188" s="113">
        <f t="shared" si="31"/>
        <v>0</v>
      </c>
      <c r="V188" s="26">
        <f t="shared" si="32"/>
        <v>27.537174599864628</v>
      </c>
    </row>
    <row r="189" spans="3:22" s="17" customFormat="1" ht="24" customHeight="1">
      <c r="C189" s="23"/>
      <c r="D189" s="23"/>
      <c r="E189" s="23"/>
      <c r="F189" s="62" t="s">
        <v>482</v>
      </c>
      <c r="G189" s="110">
        <v>1255800</v>
      </c>
      <c r="H189" s="110">
        <v>322438</v>
      </c>
      <c r="I189" s="110">
        <v>294801.71</v>
      </c>
      <c r="J189" s="25">
        <f t="shared" si="47"/>
        <v>23.47521181716834</v>
      </c>
      <c r="K189" s="1"/>
      <c r="L189" s="110">
        <v>72865.01</v>
      </c>
      <c r="M189" s="110">
        <v>72865.01</v>
      </c>
      <c r="N189" s="110">
        <v>72865.01</v>
      </c>
      <c r="O189" s="124"/>
      <c r="P189" s="25"/>
      <c r="Q189" s="1"/>
      <c r="R189" s="110">
        <f aca="true" t="shared" si="50" ref="R189:T190">G189+L189</f>
        <v>1328665.01</v>
      </c>
      <c r="S189" s="110">
        <f t="shared" si="50"/>
        <v>395303.01</v>
      </c>
      <c r="T189" s="113">
        <f t="shared" si="50"/>
        <v>367666.72000000003</v>
      </c>
      <c r="U189" s="113">
        <f>O189</f>
        <v>0</v>
      </c>
      <c r="V189" s="26">
        <f>T189/R189*100</f>
        <v>27.67188999731392</v>
      </c>
    </row>
    <row r="190" spans="3:22" s="17" customFormat="1" ht="46.5">
      <c r="C190" s="23"/>
      <c r="D190" s="23"/>
      <c r="E190" s="23"/>
      <c r="F190" s="96" t="s">
        <v>463</v>
      </c>
      <c r="G190" s="110">
        <v>6500</v>
      </c>
      <c r="H190" s="110">
        <v>6500</v>
      </c>
      <c r="I190" s="110"/>
      <c r="J190" s="25">
        <f t="shared" si="47"/>
        <v>0</v>
      </c>
      <c r="K190" s="1"/>
      <c r="L190" s="110"/>
      <c r="M190" s="110"/>
      <c r="N190" s="110"/>
      <c r="O190" s="124"/>
      <c r="P190" s="25"/>
      <c r="Q190" s="1"/>
      <c r="R190" s="110">
        <f t="shared" si="50"/>
        <v>6500</v>
      </c>
      <c r="S190" s="110">
        <f t="shared" si="50"/>
        <v>6500</v>
      </c>
      <c r="T190" s="113">
        <f t="shared" si="50"/>
        <v>0</v>
      </c>
      <c r="U190" s="113">
        <f>O190</f>
        <v>0</v>
      </c>
      <c r="V190" s="26">
        <f>T190/R190*100</f>
        <v>0</v>
      </c>
    </row>
    <row r="191" spans="1:22" s="17" customFormat="1" ht="29.25" customHeight="1">
      <c r="A191" s="17">
        <v>2</v>
      </c>
      <c r="B191" s="17">
        <v>49</v>
      </c>
      <c r="C191" s="23" t="s">
        <v>170</v>
      </c>
      <c r="D191" s="23" t="s">
        <v>171</v>
      </c>
      <c r="E191" s="23" t="s">
        <v>61</v>
      </c>
      <c r="F191" s="41" t="s">
        <v>169</v>
      </c>
      <c r="G191" s="110">
        <f>G192+G193</f>
        <v>929000</v>
      </c>
      <c r="H191" s="110">
        <f>H192+H193</f>
        <v>248225</v>
      </c>
      <c r="I191" s="110">
        <f>I192+I193</f>
        <v>206595.62</v>
      </c>
      <c r="J191" s="25">
        <f t="shared" si="47"/>
        <v>22.238495156081807</v>
      </c>
      <c r="K191" s="1"/>
      <c r="L191" s="110">
        <f>L192+L193</f>
        <v>0</v>
      </c>
      <c r="M191" s="110">
        <f>M192+M193</f>
        <v>0</v>
      </c>
      <c r="N191" s="110">
        <f>N192+N193</f>
        <v>0</v>
      </c>
      <c r="O191" s="110">
        <f>O192+O193</f>
        <v>0</v>
      </c>
      <c r="P191" s="25"/>
      <c r="Q191" s="1"/>
      <c r="R191" s="110">
        <f t="shared" si="28"/>
        <v>929000</v>
      </c>
      <c r="S191" s="110">
        <f t="shared" si="29"/>
        <v>248225</v>
      </c>
      <c r="T191" s="113">
        <f t="shared" si="30"/>
        <v>206595.62</v>
      </c>
      <c r="U191" s="113">
        <f t="shared" si="31"/>
        <v>0</v>
      </c>
      <c r="V191" s="26">
        <f t="shared" si="32"/>
        <v>22.238495156081807</v>
      </c>
    </row>
    <row r="192" spans="3:22" s="17" customFormat="1" ht="15">
      <c r="C192" s="23"/>
      <c r="D192" s="23"/>
      <c r="E192" s="23"/>
      <c r="F192" s="62" t="s">
        <v>481</v>
      </c>
      <c r="G192" s="110">
        <v>924200</v>
      </c>
      <c r="H192" s="110">
        <v>243425</v>
      </c>
      <c r="I192" s="110">
        <v>206595.62</v>
      </c>
      <c r="J192" s="25">
        <f t="shared" si="47"/>
        <v>22.353994806318976</v>
      </c>
      <c r="K192" s="1"/>
      <c r="L192" s="110"/>
      <c r="M192" s="110"/>
      <c r="N192" s="110"/>
      <c r="O192" s="124"/>
      <c r="P192" s="25"/>
      <c r="Q192" s="1"/>
      <c r="R192" s="110">
        <f aca="true" t="shared" si="51" ref="R192:T193">G192+L192</f>
        <v>924200</v>
      </c>
      <c r="S192" s="110">
        <f t="shared" si="51"/>
        <v>243425</v>
      </c>
      <c r="T192" s="113">
        <f t="shared" si="51"/>
        <v>206595.62</v>
      </c>
      <c r="U192" s="113">
        <f>O192</f>
        <v>0</v>
      </c>
      <c r="V192" s="26">
        <f>T192/R192*100</f>
        <v>22.353994806318976</v>
      </c>
    </row>
    <row r="193" spans="3:22" s="17" customFormat="1" ht="29.25" customHeight="1">
      <c r="C193" s="23"/>
      <c r="D193" s="23"/>
      <c r="E193" s="23"/>
      <c r="F193" s="96" t="s">
        <v>463</v>
      </c>
      <c r="G193" s="110">
        <v>4800</v>
      </c>
      <c r="H193" s="110">
        <v>4800</v>
      </c>
      <c r="I193" s="110"/>
      <c r="J193" s="25">
        <f t="shared" si="47"/>
        <v>0</v>
      </c>
      <c r="K193" s="1"/>
      <c r="L193" s="110"/>
      <c r="M193" s="110"/>
      <c r="N193" s="110"/>
      <c r="O193" s="124"/>
      <c r="P193" s="25"/>
      <c r="Q193" s="1"/>
      <c r="R193" s="110">
        <f t="shared" si="51"/>
        <v>4800</v>
      </c>
      <c r="S193" s="110">
        <f t="shared" si="51"/>
        <v>4800</v>
      </c>
      <c r="T193" s="113">
        <f t="shared" si="51"/>
        <v>0</v>
      </c>
      <c r="U193" s="113">
        <f>O193</f>
        <v>0</v>
      </c>
      <c r="V193" s="26">
        <f>T193/R193*100</f>
        <v>0</v>
      </c>
    </row>
    <row r="194" spans="3:22" s="17" customFormat="1" ht="42" customHeight="1">
      <c r="C194" s="23" t="s">
        <v>164</v>
      </c>
      <c r="D194" s="23" t="s">
        <v>60</v>
      </c>
      <c r="E194" s="23" t="s">
        <v>62</v>
      </c>
      <c r="F194" s="41" t="s">
        <v>349</v>
      </c>
      <c r="G194" s="110">
        <f>G195+G196</f>
        <v>1444500</v>
      </c>
      <c r="H194" s="110">
        <f>H195+H196</f>
        <v>333251</v>
      </c>
      <c r="I194" s="110">
        <f>I195+I196</f>
        <v>244401.03</v>
      </c>
      <c r="J194" s="25">
        <f t="shared" si="47"/>
        <v>16.919420560747664</v>
      </c>
      <c r="K194" s="1"/>
      <c r="L194" s="110">
        <f>L195+L196</f>
        <v>0</v>
      </c>
      <c r="M194" s="110">
        <f>M195+M196</f>
        <v>0</v>
      </c>
      <c r="N194" s="110">
        <f>N195+N196</f>
        <v>0</v>
      </c>
      <c r="O194" s="110">
        <f>O195+O196</f>
        <v>0</v>
      </c>
      <c r="P194" s="25"/>
      <c r="Q194" s="1"/>
      <c r="R194" s="110">
        <f t="shared" si="28"/>
        <v>1444500</v>
      </c>
      <c r="S194" s="110">
        <f t="shared" si="29"/>
        <v>333251</v>
      </c>
      <c r="T194" s="113">
        <f t="shared" si="30"/>
        <v>244401.03</v>
      </c>
      <c r="U194" s="113">
        <f t="shared" si="31"/>
        <v>0</v>
      </c>
      <c r="V194" s="26">
        <f t="shared" si="32"/>
        <v>16.919420560747664</v>
      </c>
    </row>
    <row r="195" spans="3:22" s="17" customFormat="1" ht="30.75">
      <c r="C195" s="23"/>
      <c r="D195" s="23"/>
      <c r="E195" s="23"/>
      <c r="F195" s="62" t="s">
        <v>483</v>
      </c>
      <c r="G195" s="110">
        <v>1438500</v>
      </c>
      <c r="H195" s="110">
        <v>327251</v>
      </c>
      <c r="I195" s="110">
        <v>244401.03</v>
      </c>
      <c r="J195" s="25">
        <f t="shared" si="47"/>
        <v>16.98999165797706</v>
      </c>
      <c r="K195" s="1"/>
      <c r="L195" s="110"/>
      <c r="M195" s="110"/>
      <c r="N195" s="110"/>
      <c r="O195" s="124"/>
      <c r="P195" s="25"/>
      <c r="Q195" s="1"/>
      <c r="R195" s="110">
        <f aca="true" t="shared" si="52" ref="R195:T196">G195+L195</f>
        <v>1438500</v>
      </c>
      <c r="S195" s="110">
        <f t="shared" si="52"/>
        <v>327251</v>
      </c>
      <c r="T195" s="113">
        <f t="shared" si="52"/>
        <v>244401.03</v>
      </c>
      <c r="U195" s="113">
        <f>O195</f>
        <v>0</v>
      </c>
      <c r="V195" s="26">
        <f>T195/R195*100</f>
        <v>16.98999165797706</v>
      </c>
    </row>
    <row r="196" spans="3:22" s="17" customFormat="1" ht="46.5">
      <c r="C196" s="23"/>
      <c r="D196" s="23"/>
      <c r="E196" s="23"/>
      <c r="F196" s="96" t="s">
        <v>463</v>
      </c>
      <c r="G196" s="110">
        <v>6000</v>
      </c>
      <c r="H196" s="110">
        <v>6000</v>
      </c>
      <c r="I196" s="110"/>
      <c r="J196" s="25">
        <f t="shared" si="47"/>
        <v>0</v>
      </c>
      <c r="K196" s="1"/>
      <c r="L196" s="110"/>
      <c r="M196" s="110"/>
      <c r="N196" s="110"/>
      <c r="O196" s="124"/>
      <c r="P196" s="25"/>
      <c r="Q196" s="1"/>
      <c r="R196" s="110">
        <f t="shared" si="52"/>
        <v>6000</v>
      </c>
      <c r="S196" s="110">
        <f t="shared" si="52"/>
        <v>6000</v>
      </c>
      <c r="T196" s="113">
        <f t="shared" si="52"/>
        <v>0</v>
      </c>
      <c r="U196" s="113">
        <f>O196</f>
        <v>0</v>
      </c>
      <c r="V196" s="26">
        <f>T196/R196*100</f>
        <v>0</v>
      </c>
    </row>
    <row r="197" spans="3:22" s="17" customFormat="1" ht="30.75">
      <c r="C197" s="42" t="s">
        <v>265</v>
      </c>
      <c r="D197" s="42" t="s">
        <v>266</v>
      </c>
      <c r="E197" s="42" t="s">
        <v>63</v>
      </c>
      <c r="F197" s="24" t="s">
        <v>267</v>
      </c>
      <c r="G197" s="110">
        <f>G198+G199</f>
        <v>976300</v>
      </c>
      <c r="H197" s="110">
        <f>H198+H199</f>
        <v>264967</v>
      </c>
      <c r="I197" s="110">
        <f>I198+I199</f>
        <v>250586.85</v>
      </c>
      <c r="J197" s="25">
        <f t="shared" si="47"/>
        <v>25.666992727645194</v>
      </c>
      <c r="K197" s="1"/>
      <c r="L197" s="110">
        <f>L198+L199</f>
        <v>0</v>
      </c>
      <c r="M197" s="110">
        <f>M198+M199</f>
        <v>0</v>
      </c>
      <c r="N197" s="110">
        <f>N198+N199</f>
        <v>0</v>
      </c>
      <c r="O197" s="110">
        <f>O198+O199</f>
        <v>0</v>
      </c>
      <c r="P197" s="25"/>
      <c r="Q197" s="1"/>
      <c r="R197" s="110">
        <f t="shared" si="28"/>
        <v>976300</v>
      </c>
      <c r="S197" s="110">
        <f t="shared" si="29"/>
        <v>264967</v>
      </c>
      <c r="T197" s="113">
        <f t="shared" si="30"/>
        <v>250586.85</v>
      </c>
      <c r="U197" s="113">
        <f t="shared" si="31"/>
        <v>0</v>
      </c>
      <c r="V197" s="26">
        <f t="shared" si="32"/>
        <v>25.666992727645194</v>
      </c>
    </row>
    <row r="198" spans="3:22" s="17" customFormat="1" ht="30.75">
      <c r="C198" s="42"/>
      <c r="D198" s="42"/>
      <c r="E198" s="42"/>
      <c r="F198" s="62" t="s">
        <v>484</v>
      </c>
      <c r="G198" s="110">
        <v>972300</v>
      </c>
      <c r="H198" s="110">
        <v>260967</v>
      </c>
      <c r="I198" s="110">
        <v>250586.85</v>
      </c>
      <c r="J198" s="25"/>
      <c r="K198" s="1"/>
      <c r="L198" s="110"/>
      <c r="M198" s="110"/>
      <c r="N198" s="110"/>
      <c r="O198" s="124"/>
      <c r="P198" s="25"/>
      <c r="Q198" s="1"/>
      <c r="R198" s="110">
        <f aca="true" t="shared" si="53" ref="R198:T199">G198+L198</f>
        <v>972300</v>
      </c>
      <c r="S198" s="110">
        <f t="shared" si="53"/>
        <v>260967</v>
      </c>
      <c r="T198" s="113">
        <f t="shared" si="53"/>
        <v>250586.85</v>
      </c>
      <c r="U198" s="113">
        <f>O198</f>
        <v>0</v>
      </c>
      <c r="V198" s="26">
        <f>T198/R198*100</f>
        <v>25.772585621721696</v>
      </c>
    </row>
    <row r="199" spans="3:22" s="17" customFormat="1" ht="46.5">
      <c r="C199" s="42"/>
      <c r="D199" s="42"/>
      <c r="E199" s="42"/>
      <c r="F199" s="96" t="s">
        <v>463</v>
      </c>
      <c r="G199" s="110">
        <v>4000</v>
      </c>
      <c r="H199" s="110">
        <v>4000</v>
      </c>
      <c r="I199" s="110"/>
      <c r="J199" s="25"/>
      <c r="K199" s="1"/>
      <c r="L199" s="110"/>
      <c r="M199" s="110"/>
      <c r="N199" s="110"/>
      <c r="O199" s="124"/>
      <c r="P199" s="25"/>
      <c r="Q199" s="1"/>
      <c r="R199" s="110">
        <f t="shared" si="53"/>
        <v>4000</v>
      </c>
      <c r="S199" s="110">
        <f t="shared" si="53"/>
        <v>4000</v>
      </c>
      <c r="T199" s="113">
        <f t="shared" si="53"/>
        <v>0</v>
      </c>
      <c r="U199" s="113">
        <f>O199</f>
        <v>0</v>
      </c>
      <c r="V199" s="26">
        <f>T199/R199*100</f>
        <v>0</v>
      </c>
    </row>
    <row r="200" spans="3:22" s="17" customFormat="1" ht="26.25" customHeight="1">
      <c r="C200" s="42" t="s">
        <v>269</v>
      </c>
      <c r="D200" s="42" t="s">
        <v>270</v>
      </c>
      <c r="E200" s="42" t="s">
        <v>63</v>
      </c>
      <c r="F200" s="24" t="s">
        <v>268</v>
      </c>
      <c r="G200" s="110">
        <f>SUM(G201:G202)</f>
        <v>2090000</v>
      </c>
      <c r="H200" s="110">
        <f>SUM(H201:H202)</f>
        <v>212610</v>
      </c>
      <c r="I200" s="110">
        <f>SUM(I201:I202)</f>
        <v>153942.12</v>
      </c>
      <c r="J200" s="25">
        <f t="shared" si="47"/>
        <v>7.365651674641148</v>
      </c>
      <c r="K200" s="1">
        <f>SUM(K201:K202)</f>
        <v>0</v>
      </c>
      <c r="L200" s="110">
        <f>SUM(L201:L202)</f>
        <v>0</v>
      </c>
      <c r="M200" s="110">
        <f>SUM(M201:M202)</f>
        <v>0</v>
      </c>
      <c r="N200" s="110">
        <f>SUM(N201:N202)</f>
        <v>0</v>
      </c>
      <c r="O200" s="124">
        <f>SUM(O201:O202)</f>
        <v>0</v>
      </c>
      <c r="P200" s="25"/>
      <c r="Q200" s="1">
        <f>SUM(Q201:Q202)</f>
        <v>0</v>
      </c>
      <c r="R200" s="110">
        <f t="shared" si="28"/>
        <v>2090000</v>
      </c>
      <c r="S200" s="110">
        <f t="shared" si="29"/>
        <v>212610</v>
      </c>
      <c r="T200" s="113">
        <f t="shared" si="30"/>
        <v>153942.12</v>
      </c>
      <c r="U200" s="113">
        <f t="shared" si="31"/>
        <v>0</v>
      </c>
      <c r="V200" s="26">
        <f t="shared" si="32"/>
        <v>7.365651674641148</v>
      </c>
    </row>
    <row r="201" spans="3:22" s="20" customFormat="1" ht="42" customHeight="1">
      <c r="C201" s="51"/>
      <c r="D201" s="51"/>
      <c r="E201" s="51"/>
      <c r="F201" s="28" t="s">
        <v>401</v>
      </c>
      <c r="G201" s="110">
        <v>2080000</v>
      </c>
      <c r="H201" s="110">
        <v>202610</v>
      </c>
      <c r="I201" s="110">
        <v>143942.12</v>
      </c>
      <c r="J201" s="25">
        <f t="shared" si="47"/>
        <v>6.920294230769231</v>
      </c>
      <c r="K201" s="6"/>
      <c r="L201" s="110"/>
      <c r="M201" s="110"/>
      <c r="N201" s="111"/>
      <c r="O201" s="125"/>
      <c r="P201" s="25"/>
      <c r="Q201" s="1"/>
      <c r="R201" s="110">
        <f aca="true" t="shared" si="54" ref="R201:R256">G201+L201</f>
        <v>2080000</v>
      </c>
      <c r="S201" s="110">
        <f aca="true" t="shared" si="55" ref="S201:S256">H201+M201</f>
        <v>202610</v>
      </c>
      <c r="T201" s="113">
        <f aca="true" t="shared" si="56" ref="T201:T256">I201+N201</f>
        <v>143942.12</v>
      </c>
      <c r="U201" s="113">
        <f aca="true" t="shared" si="57" ref="U201:U256">O201</f>
        <v>0</v>
      </c>
      <c r="V201" s="26">
        <f aca="true" t="shared" si="58" ref="V201:V256">T201/R201*100</f>
        <v>6.920294230769231</v>
      </c>
    </row>
    <row r="202" spans="3:22" s="20" customFormat="1" ht="30.75">
      <c r="C202" s="51"/>
      <c r="D202" s="51"/>
      <c r="E202" s="51"/>
      <c r="F202" s="28" t="s">
        <v>344</v>
      </c>
      <c r="G202" s="110">
        <v>10000</v>
      </c>
      <c r="H202" s="111">
        <v>10000</v>
      </c>
      <c r="I202" s="110">
        <v>10000</v>
      </c>
      <c r="J202" s="25">
        <f t="shared" si="47"/>
        <v>100</v>
      </c>
      <c r="K202" s="6"/>
      <c r="L202" s="110"/>
      <c r="M202" s="110"/>
      <c r="N202" s="111"/>
      <c r="O202" s="125"/>
      <c r="P202" s="25"/>
      <c r="Q202" s="6"/>
      <c r="R202" s="110">
        <f t="shared" si="54"/>
        <v>10000</v>
      </c>
      <c r="S202" s="110">
        <f t="shared" si="55"/>
        <v>10000</v>
      </c>
      <c r="T202" s="113">
        <f t="shared" si="56"/>
        <v>10000</v>
      </c>
      <c r="U202" s="113">
        <f t="shared" si="57"/>
        <v>0</v>
      </c>
      <c r="V202" s="26">
        <f t="shared" si="58"/>
        <v>100</v>
      </c>
    </row>
    <row r="203" spans="3:22" s="29" customFormat="1" ht="35.25" customHeight="1">
      <c r="C203" s="18"/>
      <c r="D203" s="18"/>
      <c r="E203" s="18"/>
      <c r="F203" s="19" t="s">
        <v>9</v>
      </c>
      <c r="G203" s="115">
        <f>G204+G208+G211+G214</f>
        <v>6256670</v>
      </c>
      <c r="H203" s="115">
        <f>H204+H208+H211+H214</f>
        <v>1528866</v>
      </c>
      <c r="I203" s="115">
        <f aca="true" t="shared" si="59" ref="I203:Q203">I204+I208+I211+I214</f>
        <v>1140387.04</v>
      </c>
      <c r="J203" s="39">
        <f t="shared" si="47"/>
        <v>18.2267410619387</v>
      </c>
      <c r="K203" s="7">
        <f t="shared" si="59"/>
        <v>0</v>
      </c>
      <c r="L203" s="115">
        <f t="shared" si="59"/>
        <v>0</v>
      </c>
      <c r="M203" s="115">
        <f t="shared" si="59"/>
        <v>0</v>
      </c>
      <c r="N203" s="115">
        <f t="shared" si="59"/>
        <v>0</v>
      </c>
      <c r="O203" s="115">
        <f t="shared" si="59"/>
        <v>0</v>
      </c>
      <c r="P203" s="25"/>
      <c r="Q203" s="7">
        <f t="shared" si="59"/>
        <v>0</v>
      </c>
      <c r="R203" s="110">
        <f t="shared" si="54"/>
        <v>6256670</v>
      </c>
      <c r="S203" s="110">
        <f t="shared" si="55"/>
        <v>1528866</v>
      </c>
      <c r="T203" s="113">
        <f t="shared" si="56"/>
        <v>1140387.04</v>
      </c>
      <c r="U203" s="113">
        <f t="shared" si="57"/>
        <v>0</v>
      </c>
      <c r="V203" s="26">
        <f t="shared" si="58"/>
        <v>18.2267410619387</v>
      </c>
    </row>
    <row r="204" spans="3:22" s="17" customFormat="1" ht="42" customHeight="1">
      <c r="C204" s="23" t="s">
        <v>175</v>
      </c>
      <c r="D204" s="23" t="s">
        <v>64</v>
      </c>
      <c r="E204" s="23" t="s">
        <v>65</v>
      </c>
      <c r="F204" s="41" t="s">
        <v>174</v>
      </c>
      <c r="G204" s="110">
        <f>SUM(G205:G207)</f>
        <v>667080</v>
      </c>
      <c r="H204" s="110">
        <f>SUM(H205:H207)</f>
        <v>231140</v>
      </c>
      <c r="I204" s="110">
        <f>SUM(I205:I207)</f>
        <v>101837.95</v>
      </c>
      <c r="J204" s="25">
        <f t="shared" si="47"/>
        <v>15.266227438987828</v>
      </c>
      <c r="K204" s="1">
        <f>SUM(K205:K207)</f>
        <v>0</v>
      </c>
      <c r="L204" s="110">
        <f>N204+Q204</f>
        <v>0</v>
      </c>
      <c r="M204" s="110">
        <f>SUM(M205:M207)</f>
        <v>0</v>
      </c>
      <c r="N204" s="110">
        <f>SUM(N205:N207)</f>
        <v>0</v>
      </c>
      <c r="O204" s="124">
        <f>SUM(O205:O207)</f>
        <v>0</v>
      </c>
      <c r="P204" s="25"/>
      <c r="Q204" s="1">
        <f>SUM(Q205:Q206)</f>
        <v>0</v>
      </c>
      <c r="R204" s="110">
        <f t="shared" si="54"/>
        <v>667080</v>
      </c>
      <c r="S204" s="110">
        <f t="shared" si="55"/>
        <v>231140</v>
      </c>
      <c r="T204" s="113">
        <f t="shared" si="56"/>
        <v>101837.95</v>
      </c>
      <c r="U204" s="113">
        <f t="shared" si="57"/>
        <v>0</v>
      </c>
      <c r="V204" s="26">
        <f t="shared" si="58"/>
        <v>15.266227438987828</v>
      </c>
    </row>
    <row r="205" spans="3:22" s="20" customFormat="1" ht="38.25" customHeight="1">
      <c r="C205" s="27"/>
      <c r="D205" s="27"/>
      <c r="E205" s="27"/>
      <c r="F205" s="28" t="s">
        <v>402</v>
      </c>
      <c r="G205" s="110">
        <v>627110</v>
      </c>
      <c r="H205" s="110">
        <v>191170</v>
      </c>
      <c r="I205" s="110">
        <v>61867.95</v>
      </c>
      <c r="J205" s="25">
        <f t="shared" si="47"/>
        <v>9.865565849691441</v>
      </c>
      <c r="K205" s="6"/>
      <c r="L205" s="111"/>
      <c r="M205" s="111"/>
      <c r="N205" s="127"/>
      <c r="O205" s="125"/>
      <c r="P205" s="25"/>
      <c r="Q205" s="6"/>
      <c r="R205" s="110">
        <f t="shared" si="54"/>
        <v>627110</v>
      </c>
      <c r="S205" s="110">
        <f t="shared" si="55"/>
        <v>191170</v>
      </c>
      <c r="T205" s="113">
        <f t="shared" si="56"/>
        <v>61867.95</v>
      </c>
      <c r="U205" s="113">
        <f t="shared" si="57"/>
        <v>0</v>
      </c>
      <c r="V205" s="26">
        <f t="shared" si="58"/>
        <v>9.865565849691441</v>
      </c>
    </row>
    <row r="206" spans="3:22" s="20" customFormat="1" ht="47.25" customHeight="1">
      <c r="C206" s="27"/>
      <c r="D206" s="27"/>
      <c r="E206" s="27"/>
      <c r="F206" s="28" t="s">
        <v>312</v>
      </c>
      <c r="G206" s="110">
        <v>39970</v>
      </c>
      <c r="H206" s="110">
        <v>39970</v>
      </c>
      <c r="I206" s="110">
        <v>39970</v>
      </c>
      <c r="J206" s="25">
        <f t="shared" si="47"/>
        <v>100</v>
      </c>
      <c r="K206" s="6"/>
      <c r="L206" s="111"/>
      <c r="M206" s="111"/>
      <c r="N206" s="127"/>
      <c r="O206" s="125"/>
      <c r="P206" s="25"/>
      <c r="Q206" s="6"/>
      <c r="R206" s="110">
        <f t="shared" si="54"/>
        <v>39970</v>
      </c>
      <c r="S206" s="110">
        <f t="shared" si="55"/>
        <v>39970</v>
      </c>
      <c r="T206" s="113">
        <f t="shared" si="56"/>
        <v>39970</v>
      </c>
      <c r="U206" s="113">
        <f t="shared" si="57"/>
        <v>0</v>
      </c>
      <c r="V206" s="26">
        <f t="shared" si="58"/>
        <v>100</v>
      </c>
    </row>
    <row r="207" spans="3:22" s="20" customFormat="1" ht="42.75" customHeight="1" hidden="1">
      <c r="C207" s="27"/>
      <c r="D207" s="27"/>
      <c r="E207" s="27"/>
      <c r="F207" s="28" t="s">
        <v>4</v>
      </c>
      <c r="G207" s="111">
        <f>H207+K207</f>
        <v>0</v>
      </c>
      <c r="H207" s="111"/>
      <c r="I207" s="111" t="s">
        <v>3</v>
      </c>
      <c r="J207" s="25" t="e">
        <f t="shared" si="47"/>
        <v>#VALUE!</v>
      </c>
      <c r="K207" s="6"/>
      <c r="L207" s="111">
        <f>N207+Q207</f>
        <v>0</v>
      </c>
      <c r="M207" s="111"/>
      <c r="N207" s="127"/>
      <c r="O207" s="125"/>
      <c r="P207" s="25"/>
      <c r="Q207" s="6"/>
      <c r="R207" s="110">
        <f t="shared" si="54"/>
        <v>0</v>
      </c>
      <c r="S207" s="110">
        <f t="shared" si="55"/>
        <v>0</v>
      </c>
      <c r="T207" s="113" t="e">
        <f t="shared" si="56"/>
        <v>#VALUE!</v>
      </c>
      <c r="U207" s="113">
        <f t="shared" si="57"/>
        <v>0</v>
      </c>
      <c r="V207" s="26" t="e">
        <f t="shared" si="58"/>
        <v>#VALUE!</v>
      </c>
    </row>
    <row r="208" spans="3:22" s="17" customFormat="1" ht="49.5" customHeight="1">
      <c r="C208" s="23" t="s">
        <v>177</v>
      </c>
      <c r="D208" s="23" t="s">
        <v>66</v>
      </c>
      <c r="E208" s="23" t="s">
        <v>65</v>
      </c>
      <c r="F208" s="41" t="s">
        <v>176</v>
      </c>
      <c r="G208" s="110">
        <f>SUM(G209:G210)</f>
        <v>337720</v>
      </c>
      <c r="H208" s="110">
        <f>SUM(H209:H210)</f>
        <v>100700</v>
      </c>
      <c r="I208" s="110">
        <f>SUM(I209:I210)</f>
        <v>71195.6</v>
      </c>
      <c r="J208" s="25">
        <f t="shared" si="47"/>
        <v>21.081250740258202</v>
      </c>
      <c r="K208" s="1"/>
      <c r="L208" s="110">
        <f>N208+Q208</f>
        <v>0</v>
      </c>
      <c r="M208" s="110">
        <f>SUM(M209:M210)</f>
        <v>0</v>
      </c>
      <c r="N208" s="110">
        <f>SUM(N209:N210)</f>
        <v>0</v>
      </c>
      <c r="O208" s="124">
        <f>SUM(O209:O210)</f>
        <v>0</v>
      </c>
      <c r="P208" s="25"/>
      <c r="Q208" s="1">
        <f>SUM(Q209:Q210)</f>
        <v>0</v>
      </c>
      <c r="R208" s="110">
        <f t="shared" si="54"/>
        <v>337720</v>
      </c>
      <c r="S208" s="110">
        <f t="shared" si="55"/>
        <v>100700</v>
      </c>
      <c r="T208" s="113">
        <f t="shared" si="56"/>
        <v>71195.6</v>
      </c>
      <c r="U208" s="113">
        <f t="shared" si="57"/>
        <v>0</v>
      </c>
      <c r="V208" s="26">
        <f t="shared" si="58"/>
        <v>21.081250740258202</v>
      </c>
    </row>
    <row r="209" spans="3:22" s="20" customFormat="1" ht="41.25" customHeight="1">
      <c r="C209" s="27"/>
      <c r="D209" s="27"/>
      <c r="E209" s="27"/>
      <c r="F209" s="28" t="s">
        <v>403</v>
      </c>
      <c r="G209" s="110">
        <v>322720</v>
      </c>
      <c r="H209" s="110">
        <v>85700</v>
      </c>
      <c r="I209" s="110">
        <v>56195.6</v>
      </c>
      <c r="J209" s="25">
        <f t="shared" si="47"/>
        <v>17.413113534952902</v>
      </c>
      <c r="K209" s="6"/>
      <c r="L209" s="111"/>
      <c r="M209" s="111"/>
      <c r="N209" s="127"/>
      <c r="O209" s="125"/>
      <c r="P209" s="25"/>
      <c r="Q209" s="6"/>
      <c r="R209" s="110">
        <f t="shared" si="54"/>
        <v>322720</v>
      </c>
      <c r="S209" s="110">
        <f t="shared" si="55"/>
        <v>85700</v>
      </c>
      <c r="T209" s="113">
        <f t="shared" si="56"/>
        <v>56195.6</v>
      </c>
      <c r="U209" s="113">
        <f t="shared" si="57"/>
        <v>0</v>
      </c>
      <c r="V209" s="26">
        <f t="shared" si="58"/>
        <v>17.413113534952902</v>
      </c>
    </row>
    <row r="210" spans="3:22" s="20" customFormat="1" ht="30.75">
      <c r="C210" s="27"/>
      <c r="D210" s="27"/>
      <c r="E210" s="27"/>
      <c r="F210" s="28" t="s">
        <v>312</v>
      </c>
      <c r="G210" s="110">
        <v>15000</v>
      </c>
      <c r="H210" s="110">
        <v>15000</v>
      </c>
      <c r="I210" s="110">
        <v>15000</v>
      </c>
      <c r="J210" s="25">
        <f t="shared" si="47"/>
        <v>100</v>
      </c>
      <c r="K210" s="6"/>
      <c r="L210" s="111"/>
      <c r="M210" s="111"/>
      <c r="N210" s="127"/>
      <c r="O210" s="125"/>
      <c r="P210" s="25"/>
      <c r="Q210" s="6"/>
      <c r="R210" s="110">
        <f t="shared" si="54"/>
        <v>15000</v>
      </c>
      <c r="S210" s="110">
        <f t="shared" si="55"/>
        <v>15000</v>
      </c>
      <c r="T210" s="113">
        <f t="shared" si="56"/>
        <v>15000</v>
      </c>
      <c r="U210" s="113">
        <f t="shared" si="57"/>
        <v>0</v>
      </c>
      <c r="V210" s="26">
        <f t="shared" si="58"/>
        <v>100</v>
      </c>
    </row>
    <row r="211" spans="3:22" s="20" customFormat="1" ht="45.75" customHeight="1">
      <c r="C211" s="23" t="s">
        <v>179</v>
      </c>
      <c r="D211" s="23" t="s">
        <v>73</v>
      </c>
      <c r="E211" s="23" t="s">
        <v>65</v>
      </c>
      <c r="F211" s="24" t="s">
        <v>178</v>
      </c>
      <c r="G211" s="110">
        <f>G212+G213</f>
        <v>5201700</v>
      </c>
      <c r="H211" s="110">
        <f aca="true" t="shared" si="60" ref="H211:Q211">H212+H213</f>
        <v>1185346</v>
      </c>
      <c r="I211" s="110">
        <f t="shared" si="60"/>
        <v>965153.49</v>
      </c>
      <c r="J211" s="25">
        <f t="shared" si="47"/>
        <v>18.554578118691968</v>
      </c>
      <c r="K211" s="1">
        <f t="shared" si="60"/>
        <v>0</v>
      </c>
      <c r="L211" s="110">
        <f t="shared" si="60"/>
        <v>0</v>
      </c>
      <c r="M211" s="110">
        <f t="shared" si="60"/>
        <v>0</v>
      </c>
      <c r="N211" s="110">
        <f t="shared" si="60"/>
        <v>0</v>
      </c>
      <c r="O211" s="124">
        <f t="shared" si="60"/>
        <v>0</v>
      </c>
      <c r="P211" s="25"/>
      <c r="Q211" s="1">
        <f t="shared" si="60"/>
        <v>0</v>
      </c>
      <c r="R211" s="110">
        <f t="shared" si="54"/>
        <v>5201700</v>
      </c>
      <c r="S211" s="110">
        <f t="shared" si="55"/>
        <v>1185346</v>
      </c>
      <c r="T211" s="113">
        <f t="shared" si="56"/>
        <v>965153.49</v>
      </c>
      <c r="U211" s="113">
        <f t="shared" si="57"/>
        <v>0</v>
      </c>
      <c r="V211" s="26">
        <f t="shared" si="58"/>
        <v>18.554578118691968</v>
      </c>
    </row>
    <row r="212" spans="3:22" s="20" customFormat="1" ht="39" customHeight="1">
      <c r="C212" s="23"/>
      <c r="D212" s="23"/>
      <c r="E212" s="23"/>
      <c r="F212" s="31" t="s">
        <v>417</v>
      </c>
      <c r="G212" s="110">
        <v>5193200</v>
      </c>
      <c r="H212" s="110">
        <v>1176846</v>
      </c>
      <c r="I212" s="110">
        <v>965153.49</v>
      </c>
      <c r="J212" s="25">
        <f t="shared" si="47"/>
        <v>18.584947431256257</v>
      </c>
      <c r="K212" s="6"/>
      <c r="L212" s="110"/>
      <c r="M212" s="110"/>
      <c r="N212" s="111"/>
      <c r="O212" s="125"/>
      <c r="P212" s="25"/>
      <c r="Q212" s="6"/>
      <c r="R212" s="110">
        <f t="shared" si="54"/>
        <v>5193200</v>
      </c>
      <c r="S212" s="110">
        <f t="shared" si="55"/>
        <v>1176846</v>
      </c>
      <c r="T212" s="113">
        <f t="shared" si="56"/>
        <v>965153.49</v>
      </c>
      <c r="U212" s="113">
        <f t="shared" si="57"/>
        <v>0</v>
      </c>
      <c r="V212" s="26">
        <f t="shared" si="58"/>
        <v>18.584947431256257</v>
      </c>
    </row>
    <row r="213" spans="3:22" s="20" customFormat="1" ht="46.5">
      <c r="C213" s="23"/>
      <c r="D213" s="23"/>
      <c r="E213" s="23"/>
      <c r="F213" s="96" t="s">
        <v>463</v>
      </c>
      <c r="G213" s="110">
        <v>8500</v>
      </c>
      <c r="H213" s="110">
        <v>8500</v>
      </c>
      <c r="I213" s="110"/>
      <c r="J213" s="25">
        <f t="shared" si="47"/>
        <v>0</v>
      </c>
      <c r="K213" s="6"/>
      <c r="L213" s="110"/>
      <c r="M213" s="110"/>
      <c r="N213" s="111"/>
      <c r="O213" s="125"/>
      <c r="P213" s="25"/>
      <c r="Q213" s="6"/>
      <c r="R213" s="110">
        <f t="shared" si="54"/>
        <v>8500</v>
      </c>
      <c r="S213" s="110">
        <f t="shared" si="55"/>
        <v>8500</v>
      </c>
      <c r="T213" s="113">
        <f t="shared" si="56"/>
        <v>0</v>
      </c>
      <c r="U213" s="113">
        <f t="shared" si="57"/>
        <v>0</v>
      </c>
      <c r="V213" s="26">
        <f t="shared" si="58"/>
        <v>0</v>
      </c>
    </row>
    <row r="214" spans="3:22" s="17" customFormat="1" ht="61.5" customHeight="1">
      <c r="C214" s="23" t="s">
        <v>181</v>
      </c>
      <c r="D214" s="23" t="s">
        <v>71</v>
      </c>
      <c r="E214" s="23" t="s">
        <v>65</v>
      </c>
      <c r="F214" s="41" t="s">
        <v>180</v>
      </c>
      <c r="G214" s="110">
        <f>G215+G216</f>
        <v>50170</v>
      </c>
      <c r="H214" s="110">
        <f>H215+H216</f>
        <v>11680</v>
      </c>
      <c r="I214" s="110">
        <f>I215+I216</f>
        <v>2200</v>
      </c>
      <c r="J214" s="25">
        <f t="shared" si="47"/>
        <v>4.385090691648395</v>
      </c>
      <c r="K214" s="1"/>
      <c r="L214" s="110">
        <f>N214+Q214</f>
        <v>0</v>
      </c>
      <c r="M214" s="110">
        <f>M215+M216</f>
        <v>0</v>
      </c>
      <c r="N214" s="110">
        <f>N215+N216</f>
        <v>0</v>
      </c>
      <c r="O214" s="124">
        <f>O215+O216</f>
        <v>0</v>
      </c>
      <c r="P214" s="25"/>
      <c r="Q214" s="1">
        <f>Q215+Q216</f>
        <v>0</v>
      </c>
      <c r="R214" s="110">
        <f t="shared" si="54"/>
        <v>50170</v>
      </c>
      <c r="S214" s="110">
        <f t="shared" si="55"/>
        <v>11680</v>
      </c>
      <c r="T214" s="113">
        <f t="shared" si="56"/>
        <v>2200</v>
      </c>
      <c r="U214" s="113">
        <f t="shared" si="57"/>
        <v>0</v>
      </c>
      <c r="V214" s="26">
        <f t="shared" si="58"/>
        <v>4.385090691648395</v>
      </c>
    </row>
    <row r="215" spans="3:22" s="20" customFormat="1" ht="39.75" customHeight="1">
      <c r="C215" s="27"/>
      <c r="D215" s="27"/>
      <c r="E215" s="27"/>
      <c r="F215" s="28" t="s">
        <v>402</v>
      </c>
      <c r="G215" s="110">
        <v>50170</v>
      </c>
      <c r="H215" s="110">
        <v>11680</v>
      </c>
      <c r="I215" s="110">
        <v>2200</v>
      </c>
      <c r="J215" s="25">
        <f t="shared" si="47"/>
        <v>4.385090691648395</v>
      </c>
      <c r="K215" s="6"/>
      <c r="L215" s="110"/>
      <c r="M215" s="111"/>
      <c r="N215" s="127"/>
      <c r="O215" s="125"/>
      <c r="P215" s="25"/>
      <c r="Q215" s="6"/>
      <c r="R215" s="110">
        <f t="shared" si="54"/>
        <v>50170</v>
      </c>
      <c r="S215" s="110">
        <f t="shared" si="55"/>
        <v>11680</v>
      </c>
      <c r="T215" s="113">
        <f t="shared" si="56"/>
        <v>2200</v>
      </c>
      <c r="U215" s="113">
        <f t="shared" si="57"/>
        <v>0</v>
      </c>
      <c r="V215" s="26">
        <f t="shared" si="58"/>
        <v>4.385090691648395</v>
      </c>
    </row>
    <row r="216" spans="3:22" s="20" customFormat="1" ht="1.5" customHeight="1" hidden="1">
      <c r="C216" s="27"/>
      <c r="D216" s="27"/>
      <c r="E216" s="27"/>
      <c r="F216" s="28" t="s">
        <v>72</v>
      </c>
      <c r="G216" s="111">
        <f>H216+K216</f>
        <v>0</v>
      </c>
      <c r="H216" s="111"/>
      <c r="I216" s="111"/>
      <c r="J216" s="25" t="e">
        <f t="shared" si="47"/>
        <v>#DIV/0!</v>
      </c>
      <c r="K216" s="6"/>
      <c r="L216" s="110">
        <f>N216+Q216</f>
        <v>0</v>
      </c>
      <c r="M216" s="111"/>
      <c r="N216" s="127"/>
      <c r="O216" s="125"/>
      <c r="P216" s="25"/>
      <c r="Q216" s="6"/>
      <c r="R216" s="110">
        <f t="shared" si="54"/>
        <v>0</v>
      </c>
      <c r="S216" s="110">
        <f t="shared" si="55"/>
        <v>0</v>
      </c>
      <c r="T216" s="113">
        <f t="shared" si="56"/>
        <v>0</v>
      </c>
      <c r="U216" s="113">
        <f t="shared" si="57"/>
        <v>0</v>
      </c>
      <c r="V216" s="26" t="e">
        <f t="shared" si="58"/>
        <v>#DIV/0!</v>
      </c>
    </row>
    <row r="217" spans="3:22" s="20" customFormat="1" ht="33" customHeight="1">
      <c r="C217" s="23" t="s">
        <v>382</v>
      </c>
      <c r="D217" s="23" t="s">
        <v>383</v>
      </c>
      <c r="E217" s="23" t="s">
        <v>384</v>
      </c>
      <c r="F217" s="41" t="s">
        <v>385</v>
      </c>
      <c r="G217" s="110">
        <f>G218+G219</f>
        <v>232000</v>
      </c>
      <c r="H217" s="110">
        <f>H218+H219</f>
        <v>104000</v>
      </c>
      <c r="I217" s="110">
        <f>I218+I219</f>
        <v>0</v>
      </c>
      <c r="J217" s="25">
        <f t="shared" si="47"/>
        <v>0</v>
      </c>
      <c r="K217" s="1">
        <f>K218+K219</f>
        <v>0</v>
      </c>
      <c r="L217" s="110">
        <f>L218+L219</f>
        <v>327000</v>
      </c>
      <c r="M217" s="110">
        <f>M218+M219</f>
        <v>327000</v>
      </c>
      <c r="N217" s="110">
        <f>N218+N219</f>
        <v>0</v>
      </c>
      <c r="O217" s="124">
        <f>O218+O219</f>
        <v>0</v>
      </c>
      <c r="P217" s="25"/>
      <c r="Q217" s="1">
        <f>Q218+Q219</f>
        <v>0</v>
      </c>
      <c r="R217" s="110">
        <f t="shared" si="54"/>
        <v>559000</v>
      </c>
      <c r="S217" s="110">
        <f t="shared" si="55"/>
        <v>431000</v>
      </c>
      <c r="T217" s="113">
        <f t="shared" si="56"/>
        <v>0</v>
      </c>
      <c r="U217" s="113">
        <f t="shared" si="57"/>
        <v>0</v>
      </c>
      <c r="V217" s="26">
        <f t="shared" si="58"/>
        <v>0</v>
      </c>
    </row>
    <row r="218" spans="3:22" s="20" customFormat="1" ht="42.75" customHeight="1">
      <c r="C218" s="27"/>
      <c r="D218" s="27"/>
      <c r="E218" s="27"/>
      <c r="F218" s="28" t="s">
        <v>402</v>
      </c>
      <c r="G218" s="110">
        <v>173000</v>
      </c>
      <c r="H218" s="110">
        <v>104000</v>
      </c>
      <c r="I218" s="110"/>
      <c r="J218" s="25">
        <f t="shared" si="47"/>
        <v>0</v>
      </c>
      <c r="K218" s="6"/>
      <c r="L218" s="110">
        <v>327000</v>
      </c>
      <c r="M218" s="110">
        <v>327000</v>
      </c>
      <c r="N218" s="127"/>
      <c r="O218" s="125"/>
      <c r="P218" s="25"/>
      <c r="Q218" s="6"/>
      <c r="R218" s="110">
        <f t="shared" si="54"/>
        <v>500000</v>
      </c>
      <c r="S218" s="110">
        <f t="shared" si="55"/>
        <v>431000</v>
      </c>
      <c r="T218" s="113">
        <f t="shared" si="56"/>
        <v>0</v>
      </c>
      <c r="U218" s="113">
        <f t="shared" si="57"/>
        <v>0</v>
      </c>
      <c r="V218" s="26">
        <f t="shared" si="58"/>
        <v>0</v>
      </c>
    </row>
    <row r="219" spans="3:22" s="17" customFormat="1" ht="39" customHeight="1">
      <c r="C219" s="42"/>
      <c r="D219" s="42"/>
      <c r="E219" s="42"/>
      <c r="F219" s="31" t="s">
        <v>312</v>
      </c>
      <c r="G219" s="110">
        <v>59000</v>
      </c>
      <c r="H219" s="110"/>
      <c r="I219" s="110"/>
      <c r="J219" s="25">
        <f t="shared" si="47"/>
        <v>0</v>
      </c>
      <c r="K219" s="1"/>
      <c r="L219" s="110"/>
      <c r="M219" s="110"/>
      <c r="N219" s="110"/>
      <c r="O219" s="124"/>
      <c r="P219" s="25"/>
      <c r="Q219" s="1"/>
      <c r="R219" s="110">
        <f t="shared" si="54"/>
        <v>59000</v>
      </c>
      <c r="S219" s="110">
        <f t="shared" si="55"/>
        <v>0</v>
      </c>
      <c r="T219" s="113">
        <f t="shared" si="56"/>
        <v>0</v>
      </c>
      <c r="U219" s="113">
        <f t="shared" si="57"/>
        <v>0</v>
      </c>
      <c r="V219" s="26">
        <f t="shared" si="58"/>
        <v>0</v>
      </c>
    </row>
    <row r="220" spans="3:22" s="29" customFormat="1" ht="27.75" customHeight="1">
      <c r="C220" s="18"/>
      <c r="D220" s="18"/>
      <c r="E220" s="18"/>
      <c r="F220" s="38" t="s">
        <v>5</v>
      </c>
      <c r="G220" s="115">
        <f>G177+G180+G184+G187+G203+G217</f>
        <v>22177970</v>
      </c>
      <c r="H220" s="115">
        <f>H177+H180+H184+H187+H203+H217</f>
        <v>5229279</v>
      </c>
      <c r="I220" s="115">
        <f>I177+I180+I184+I187+I203+I217</f>
        <v>4334529.12</v>
      </c>
      <c r="J220" s="25">
        <f t="shared" si="47"/>
        <v>19.54430058296589</v>
      </c>
      <c r="K220" s="7">
        <f>K177+K180+K184+K187+K203+K217</f>
        <v>0</v>
      </c>
      <c r="L220" s="115">
        <f>L177+L180+L184+L187+L203+L217</f>
        <v>781375.01</v>
      </c>
      <c r="M220" s="115">
        <f>M177+M180+M184+M187+M203+M217</f>
        <v>781375.01</v>
      </c>
      <c r="N220" s="115">
        <f>N177+N180+N184+N187+N203+N217</f>
        <v>174265.07</v>
      </c>
      <c r="O220" s="115">
        <f>O177+O180+O184+O187+O203+O217</f>
        <v>0</v>
      </c>
      <c r="P220" s="25">
        <f>N220/L220*100</f>
        <v>22.302360296882288</v>
      </c>
      <c r="Q220" s="7">
        <f>Q177+Q180+Q184+Q187+Q203+Q217</f>
        <v>0</v>
      </c>
      <c r="R220" s="110">
        <f t="shared" si="54"/>
        <v>22959345.01</v>
      </c>
      <c r="S220" s="110">
        <f t="shared" si="55"/>
        <v>6010654.01</v>
      </c>
      <c r="T220" s="113">
        <f t="shared" si="56"/>
        <v>4508794.19</v>
      </c>
      <c r="U220" s="113">
        <f t="shared" si="57"/>
        <v>0</v>
      </c>
      <c r="V220" s="26">
        <f t="shared" si="58"/>
        <v>19.6381655837141</v>
      </c>
    </row>
    <row r="221" spans="3:22" s="17" customFormat="1" ht="39.75" customHeight="1">
      <c r="C221" s="18" t="s">
        <v>274</v>
      </c>
      <c r="D221" s="23"/>
      <c r="E221" s="23"/>
      <c r="F221" s="19" t="s">
        <v>377</v>
      </c>
      <c r="G221" s="110"/>
      <c r="H221" s="110"/>
      <c r="I221" s="110"/>
      <c r="J221" s="1"/>
      <c r="K221" s="1"/>
      <c r="L221" s="111"/>
      <c r="M221" s="111"/>
      <c r="N221" s="110"/>
      <c r="O221" s="124"/>
      <c r="P221" s="1"/>
      <c r="Q221" s="1"/>
      <c r="R221" s="110">
        <f aca="true" t="shared" si="61" ref="R221:T222">G221+L221</f>
        <v>0</v>
      </c>
      <c r="S221" s="110">
        <f t="shared" si="61"/>
        <v>0</v>
      </c>
      <c r="T221" s="113">
        <f t="shared" si="61"/>
        <v>0</v>
      </c>
      <c r="U221" s="113">
        <f>O221</f>
        <v>0</v>
      </c>
      <c r="V221" s="26"/>
    </row>
    <row r="222" spans="3:22" s="20" customFormat="1" ht="42" customHeight="1">
      <c r="C222" s="21" t="s">
        <v>273</v>
      </c>
      <c r="D222" s="27"/>
      <c r="E222" s="27"/>
      <c r="F222" s="22" t="s">
        <v>377</v>
      </c>
      <c r="G222" s="111"/>
      <c r="H222" s="111"/>
      <c r="I222" s="111"/>
      <c r="J222" s="6"/>
      <c r="K222" s="6"/>
      <c r="L222" s="111"/>
      <c r="M222" s="111"/>
      <c r="N222" s="111"/>
      <c r="O222" s="125"/>
      <c r="P222" s="6"/>
      <c r="Q222" s="6"/>
      <c r="R222" s="110">
        <f t="shared" si="61"/>
        <v>0</v>
      </c>
      <c r="S222" s="110">
        <f t="shared" si="61"/>
        <v>0</v>
      </c>
      <c r="T222" s="113">
        <f t="shared" si="61"/>
        <v>0</v>
      </c>
      <c r="U222" s="113">
        <f>O222</f>
        <v>0</v>
      </c>
      <c r="V222" s="26"/>
    </row>
    <row r="223" spans="1:22" s="17" customFormat="1" ht="42.75" customHeight="1">
      <c r="A223" s="17">
        <v>5</v>
      </c>
      <c r="B223" s="17">
        <v>36</v>
      </c>
      <c r="C223" s="23" t="s">
        <v>272</v>
      </c>
      <c r="D223" s="23" t="s">
        <v>33</v>
      </c>
      <c r="E223" s="23" t="s">
        <v>30</v>
      </c>
      <c r="F223" s="41" t="s">
        <v>102</v>
      </c>
      <c r="G223" s="110">
        <f>G224+G225</f>
        <v>5929600</v>
      </c>
      <c r="H223" s="110">
        <f>H224+H225</f>
        <v>1573136</v>
      </c>
      <c r="I223" s="110">
        <f>I224+I225</f>
        <v>1494069.86</v>
      </c>
      <c r="J223" s="25">
        <f aca="true" t="shared" si="62" ref="J223:J228">I223/G223*100</f>
        <v>25.196806867242312</v>
      </c>
      <c r="K223" s="1"/>
      <c r="L223" s="110">
        <f>L224+L225</f>
        <v>0</v>
      </c>
      <c r="M223" s="110">
        <f>M224+M225</f>
        <v>0</v>
      </c>
      <c r="N223" s="110">
        <f>N224+N225</f>
        <v>0</v>
      </c>
      <c r="O223" s="110">
        <f>O224+O225</f>
        <v>0</v>
      </c>
      <c r="P223" s="25"/>
      <c r="Q223" s="1"/>
      <c r="R223" s="110">
        <f t="shared" si="54"/>
        <v>5929600</v>
      </c>
      <c r="S223" s="110">
        <f t="shared" si="55"/>
        <v>1573136</v>
      </c>
      <c r="T223" s="113">
        <f t="shared" si="56"/>
        <v>1494069.86</v>
      </c>
      <c r="U223" s="113">
        <f t="shared" si="57"/>
        <v>0</v>
      </c>
      <c r="V223" s="26">
        <f t="shared" si="58"/>
        <v>25.196806867242312</v>
      </c>
    </row>
    <row r="224" spans="3:22" s="17" customFormat="1" ht="15">
      <c r="C224" s="23"/>
      <c r="D224" s="23"/>
      <c r="E224" s="23"/>
      <c r="F224" s="62" t="s">
        <v>485</v>
      </c>
      <c r="G224" s="110">
        <v>5884200</v>
      </c>
      <c r="H224" s="110">
        <v>1573136</v>
      </c>
      <c r="I224" s="110">
        <v>1494069.86</v>
      </c>
      <c r="J224" s="25">
        <f t="shared" si="62"/>
        <v>25.391214778559533</v>
      </c>
      <c r="K224" s="1"/>
      <c r="L224" s="110"/>
      <c r="M224" s="110"/>
      <c r="N224" s="110"/>
      <c r="O224" s="124"/>
      <c r="P224" s="25"/>
      <c r="Q224" s="1"/>
      <c r="R224" s="110">
        <f aca="true" t="shared" si="63" ref="R224:T225">G224+L224</f>
        <v>5884200</v>
      </c>
      <c r="S224" s="110">
        <f t="shared" si="63"/>
        <v>1573136</v>
      </c>
      <c r="T224" s="113">
        <f t="shared" si="63"/>
        <v>1494069.86</v>
      </c>
      <c r="U224" s="113">
        <f>O224</f>
        <v>0</v>
      </c>
      <c r="V224" s="26">
        <f>T224/R224*100</f>
        <v>25.391214778559533</v>
      </c>
    </row>
    <row r="225" spans="3:22" s="17" customFormat="1" ht="50.25" customHeight="1">
      <c r="C225" s="23"/>
      <c r="D225" s="23"/>
      <c r="E225" s="23"/>
      <c r="F225" s="96" t="s">
        <v>463</v>
      </c>
      <c r="G225" s="110">
        <v>45400</v>
      </c>
      <c r="H225" s="110"/>
      <c r="I225" s="110"/>
      <c r="J225" s="25">
        <f t="shared" si="62"/>
        <v>0</v>
      </c>
      <c r="K225" s="1"/>
      <c r="L225" s="110"/>
      <c r="M225" s="110"/>
      <c r="N225" s="110"/>
      <c r="O225" s="124"/>
      <c r="P225" s="25"/>
      <c r="Q225" s="1"/>
      <c r="R225" s="110">
        <f t="shared" si="63"/>
        <v>45400</v>
      </c>
      <c r="S225" s="110">
        <f t="shared" si="63"/>
        <v>0</v>
      </c>
      <c r="T225" s="113">
        <f t="shared" si="63"/>
        <v>0</v>
      </c>
      <c r="U225" s="113">
        <f>O225</f>
        <v>0</v>
      </c>
      <c r="V225" s="26">
        <f>T225/R225*100</f>
        <v>0</v>
      </c>
    </row>
    <row r="226" spans="3:22" s="30" customFormat="1" ht="33.75" customHeight="1">
      <c r="C226" s="18"/>
      <c r="D226" s="18"/>
      <c r="E226" s="21"/>
      <c r="F226" s="19" t="s">
        <v>208</v>
      </c>
      <c r="G226" s="115">
        <f>G227+G232+G236+G243+G245+G248+G250+G251+G260+G262</f>
        <v>24621547</v>
      </c>
      <c r="H226" s="115">
        <f>H227+H232+H236+H243+H245+H248+H250+H251+H260+H262</f>
        <v>5743741</v>
      </c>
      <c r="I226" s="115">
        <f>I227+I232+I236+I245+I251+I260+I262</f>
        <v>4305350.210000001</v>
      </c>
      <c r="J226" s="25">
        <f t="shared" si="62"/>
        <v>17.486107635722487</v>
      </c>
      <c r="K226" s="7">
        <f>K227+K232+K236+K243+K245+K248+K250+K251+K260+K262</f>
        <v>0</v>
      </c>
      <c r="L226" s="115">
        <f>L227+L232+L236+L243+L245+L248+L250+L251+L260+L262</f>
        <v>1481500</v>
      </c>
      <c r="M226" s="115">
        <f>M227+M232+M236+M243+M245+M248+M250+M251+M260+M262</f>
        <v>1481500</v>
      </c>
      <c r="N226" s="115">
        <f>N227+N232+N236+N243+N245+N248+N250+N251+N260+N262</f>
        <v>115900</v>
      </c>
      <c r="O226" s="130">
        <f>O227+O232+O236+O243+O245+O248+O250+O251+O260+O262</f>
        <v>115900</v>
      </c>
      <c r="P226" s="59">
        <f aca="true" t="shared" si="64" ref="P226:P273">N226/L226*100</f>
        <v>7.823152210597367</v>
      </c>
      <c r="Q226" s="7">
        <f>Q227+Q232+Q236+Q243+Q245+Q248+Q250+Q251+Q260+Q262</f>
        <v>10531700</v>
      </c>
      <c r="R226" s="110">
        <f t="shared" si="54"/>
        <v>26103047</v>
      </c>
      <c r="S226" s="110">
        <f t="shared" si="55"/>
        <v>7225241</v>
      </c>
      <c r="T226" s="113">
        <f t="shared" si="56"/>
        <v>4421250.210000001</v>
      </c>
      <c r="U226" s="113">
        <f t="shared" si="57"/>
        <v>115900</v>
      </c>
      <c r="V226" s="26">
        <f t="shared" si="58"/>
        <v>16.937678616599822</v>
      </c>
    </row>
    <row r="227" spans="3:22" s="17" customFormat="1" ht="32.25" customHeight="1">
      <c r="C227" s="23" t="s">
        <v>313</v>
      </c>
      <c r="D227" s="23" t="s">
        <v>187</v>
      </c>
      <c r="E227" s="23" t="s">
        <v>407</v>
      </c>
      <c r="F227" s="35" t="s">
        <v>193</v>
      </c>
      <c r="G227" s="110">
        <f>SUM(G228:G231)</f>
        <v>3176247</v>
      </c>
      <c r="H227" s="110">
        <f>SUM(H228:H231)</f>
        <v>43000</v>
      </c>
      <c r="I227" s="110">
        <f>SUM(I228:I231)</f>
        <v>0</v>
      </c>
      <c r="J227" s="25">
        <f t="shared" si="62"/>
        <v>0</v>
      </c>
      <c r="K227" s="1">
        <f>SUM(K228:K231)</f>
        <v>0</v>
      </c>
      <c r="L227" s="110">
        <f>SUM(L228:L231)</f>
        <v>0</v>
      </c>
      <c r="M227" s="110">
        <f>SUM(M228:M231)</f>
        <v>0</v>
      </c>
      <c r="N227" s="110">
        <f>SUM(N228:N231)</f>
        <v>0</v>
      </c>
      <c r="O227" s="124">
        <f>SUM(O228:O231)</f>
        <v>0</v>
      </c>
      <c r="P227" s="59"/>
      <c r="Q227" s="1">
        <f>SUM(Q228:Q231)</f>
        <v>1600000</v>
      </c>
      <c r="R227" s="110">
        <f t="shared" si="54"/>
        <v>3176247</v>
      </c>
      <c r="S227" s="110">
        <f t="shared" si="55"/>
        <v>43000</v>
      </c>
      <c r="T227" s="113">
        <f t="shared" si="56"/>
        <v>0</v>
      </c>
      <c r="U227" s="113">
        <f t="shared" si="57"/>
        <v>0</v>
      </c>
      <c r="V227" s="26">
        <f t="shared" si="58"/>
        <v>0</v>
      </c>
    </row>
    <row r="228" spans="3:22" s="20" customFormat="1" ht="57.75" customHeight="1">
      <c r="C228" s="27"/>
      <c r="D228" s="27"/>
      <c r="E228" s="27"/>
      <c r="F228" s="37" t="s">
        <v>21</v>
      </c>
      <c r="G228" s="110">
        <v>3000000</v>
      </c>
      <c r="H228" s="110"/>
      <c r="I228" s="110"/>
      <c r="J228" s="25">
        <f t="shared" si="62"/>
        <v>0</v>
      </c>
      <c r="K228" s="6"/>
      <c r="L228" s="110"/>
      <c r="M228" s="110"/>
      <c r="N228" s="110"/>
      <c r="O228" s="124"/>
      <c r="P228" s="59"/>
      <c r="Q228" s="1">
        <v>1600000</v>
      </c>
      <c r="R228" s="110">
        <f t="shared" si="54"/>
        <v>3000000</v>
      </c>
      <c r="S228" s="110">
        <f t="shared" si="55"/>
        <v>0</v>
      </c>
      <c r="T228" s="113">
        <f t="shared" si="56"/>
        <v>0</v>
      </c>
      <c r="U228" s="113">
        <f t="shared" si="57"/>
        <v>0</v>
      </c>
      <c r="V228" s="26">
        <f t="shared" si="58"/>
        <v>0</v>
      </c>
    </row>
    <row r="229" spans="3:22" s="20" customFormat="1" ht="39" customHeight="1" hidden="1">
      <c r="C229" s="27"/>
      <c r="D229" s="27"/>
      <c r="E229" s="27"/>
      <c r="F229" s="37" t="s">
        <v>394</v>
      </c>
      <c r="G229" s="110"/>
      <c r="H229" s="111"/>
      <c r="I229" s="110"/>
      <c r="J229" s="25"/>
      <c r="K229" s="6"/>
      <c r="L229" s="110"/>
      <c r="M229" s="110"/>
      <c r="N229" s="110"/>
      <c r="O229" s="124"/>
      <c r="P229" s="59" t="e">
        <f t="shared" si="64"/>
        <v>#DIV/0!</v>
      </c>
      <c r="Q229" s="1"/>
      <c r="R229" s="110">
        <f t="shared" si="54"/>
        <v>0</v>
      </c>
      <c r="S229" s="110">
        <f t="shared" si="55"/>
        <v>0</v>
      </c>
      <c r="T229" s="113">
        <f t="shared" si="56"/>
        <v>0</v>
      </c>
      <c r="U229" s="113">
        <f t="shared" si="57"/>
        <v>0</v>
      </c>
      <c r="V229" s="26" t="e">
        <f t="shared" si="58"/>
        <v>#DIV/0!</v>
      </c>
    </row>
    <row r="230" spans="3:22" s="20" customFormat="1" ht="42.75" customHeight="1">
      <c r="C230" s="27"/>
      <c r="D230" s="27"/>
      <c r="E230" s="27"/>
      <c r="F230" s="37" t="s">
        <v>345</v>
      </c>
      <c r="G230" s="110">
        <v>176247</v>
      </c>
      <c r="H230" s="111">
        <v>43000</v>
      </c>
      <c r="I230" s="110"/>
      <c r="J230" s="25">
        <f>I230/G230*100</f>
        <v>0</v>
      </c>
      <c r="K230" s="6"/>
      <c r="L230" s="111"/>
      <c r="M230" s="111"/>
      <c r="N230" s="111"/>
      <c r="O230" s="124"/>
      <c r="P230" s="59"/>
      <c r="Q230" s="6"/>
      <c r="R230" s="110">
        <f t="shared" si="54"/>
        <v>176247</v>
      </c>
      <c r="S230" s="110">
        <f t="shared" si="55"/>
        <v>43000</v>
      </c>
      <c r="T230" s="113">
        <f t="shared" si="56"/>
        <v>0</v>
      </c>
      <c r="U230" s="113">
        <f t="shared" si="57"/>
        <v>0</v>
      </c>
      <c r="V230" s="26">
        <f t="shared" si="58"/>
        <v>0</v>
      </c>
    </row>
    <row r="231" spans="3:22" s="20" customFormat="1" ht="36" customHeight="1" hidden="1">
      <c r="C231" s="27"/>
      <c r="D231" s="27"/>
      <c r="E231" s="27"/>
      <c r="F231" s="37" t="s">
        <v>22</v>
      </c>
      <c r="G231" s="111">
        <f>H231+K231</f>
        <v>0</v>
      </c>
      <c r="H231" s="111"/>
      <c r="I231" s="111"/>
      <c r="J231" s="25" t="e">
        <f aca="true" t="shared" si="65" ref="J231:J238">I231/G231*100</f>
        <v>#DIV/0!</v>
      </c>
      <c r="K231" s="6"/>
      <c r="L231" s="111">
        <f aca="true" t="shared" si="66" ref="L231:L242">N231+Q231</f>
        <v>0</v>
      </c>
      <c r="M231" s="111"/>
      <c r="N231" s="111"/>
      <c r="O231" s="124">
        <f>N231</f>
        <v>0</v>
      </c>
      <c r="P231" s="59" t="e">
        <f t="shared" si="64"/>
        <v>#DIV/0!</v>
      </c>
      <c r="Q231" s="6"/>
      <c r="R231" s="110">
        <f t="shared" si="54"/>
        <v>0</v>
      </c>
      <c r="S231" s="110">
        <f t="shared" si="55"/>
        <v>0</v>
      </c>
      <c r="T231" s="113">
        <f t="shared" si="56"/>
        <v>0</v>
      </c>
      <c r="U231" s="113">
        <f t="shared" si="57"/>
        <v>0</v>
      </c>
      <c r="V231" s="26" t="e">
        <f t="shared" si="58"/>
        <v>#DIV/0!</v>
      </c>
    </row>
    <row r="232" spans="3:22" s="17" customFormat="1" ht="44.25" customHeight="1" hidden="1">
      <c r="C232" s="23" t="s">
        <v>314</v>
      </c>
      <c r="D232" s="23" t="s">
        <v>188</v>
      </c>
      <c r="E232" s="23" t="s">
        <v>56</v>
      </c>
      <c r="F232" s="41" t="s">
        <v>189</v>
      </c>
      <c r="G232" s="110">
        <f>SUM(G233:G235)</f>
        <v>0</v>
      </c>
      <c r="H232" s="110">
        <f>SUM(H233:H235)</f>
        <v>0</v>
      </c>
      <c r="I232" s="110">
        <f aca="true" t="shared" si="67" ref="I232:Q232">SUM(I233:I235)</f>
        <v>0</v>
      </c>
      <c r="J232" s="25" t="e">
        <f t="shared" si="65"/>
        <v>#DIV/0!</v>
      </c>
      <c r="K232" s="1">
        <f t="shared" si="67"/>
        <v>0</v>
      </c>
      <c r="L232" s="110">
        <f>SUM(L233:L235)</f>
        <v>0</v>
      </c>
      <c r="M232" s="110">
        <f t="shared" si="67"/>
        <v>0</v>
      </c>
      <c r="N232" s="110">
        <f t="shared" si="67"/>
        <v>0</v>
      </c>
      <c r="O232" s="124">
        <f t="shared" si="67"/>
        <v>0</v>
      </c>
      <c r="P232" s="59" t="e">
        <f t="shared" si="64"/>
        <v>#DIV/0!</v>
      </c>
      <c r="Q232" s="1">
        <f t="shared" si="67"/>
        <v>100000</v>
      </c>
      <c r="R232" s="110">
        <f t="shared" si="54"/>
        <v>0</v>
      </c>
      <c r="S232" s="110">
        <f t="shared" si="55"/>
        <v>0</v>
      </c>
      <c r="T232" s="113">
        <f t="shared" si="56"/>
        <v>0</v>
      </c>
      <c r="U232" s="113">
        <f t="shared" si="57"/>
        <v>0</v>
      </c>
      <c r="V232" s="26" t="e">
        <f t="shared" si="58"/>
        <v>#DIV/0!</v>
      </c>
    </row>
    <row r="233" spans="3:22" s="20" customFormat="1" ht="59.25" customHeight="1" hidden="1">
      <c r="C233" s="27"/>
      <c r="D233" s="27"/>
      <c r="E233" s="27"/>
      <c r="F233" s="28" t="s">
        <v>80</v>
      </c>
      <c r="G233" s="111"/>
      <c r="H233" s="111"/>
      <c r="I233" s="111"/>
      <c r="J233" s="25"/>
      <c r="K233" s="6"/>
      <c r="L233" s="110"/>
      <c r="M233" s="110"/>
      <c r="N233" s="110"/>
      <c r="O233" s="124"/>
      <c r="P233" s="59" t="e">
        <f t="shared" si="64"/>
        <v>#DIV/0!</v>
      </c>
      <c r="Q233" s="1">
        <v>100000</v>
      </c>
      <c r="R233" s="110">
        <f t="shared" si="54"/>
        <v>0</v>
      </c>
      <c r="S233" s="110">
        <f t="shared" si="55"/>
        <v>0</v>
      </c>
      <c r="T233" s="113">
        <f t="shared" si="56"/>
        <v>0</v>
      </c>
      <c r="U233" s="113">
        <f t="shared" si="57"/>
        <v>0</v>
      </c>
      <c r="V233" s="26" t="e">
        <f t="shared" si="58"/>
        <v>#DIV/0!</v>
      </c>
    </row>
    <row r="234" spans="3:22" s="20" customFormat="1" ht="46.5" hidden="1">
      <c r="C234" s="27"/>
      <c r="D234" s="27"/>
      <c r="E234" s="27"/>
      <c r="F234" s="96" t="s">
        <v>57</v>
      </c>
      <c r="G234" s="110"/>
      <c r="H234" s="111"/>
      <c r="I234" s="110"/>
      <c r="J234" s="25" t="e">
        <f t="shared" si="65"/>
        <v>#DIV/0!</v>
      </c>
      <c r="K234" s="6"/>
      <c r="L234" s="111"/>
      <c r="M234" s="111"/>
      <c r="N234" s="111"/>
      <c r="O234" s="125"/>
      <c r="P234" s="59" t="e">
        <f t="shared" si="64"/>
        <v>#DIV/0!</v>
      </c>
      <c r="Q234" s="6"/>
      <c r="R234" s="110">
        <f t="shared" si="54"/>
        <v>0</v>
      </c>
      <c r="S234" s="110">
        <f t="shared" si="55"/>
        <v>0</v>
      </c>
      <c r="T234" s="113">
        <f t="shared" si="56"/>
        <v>0</v>
      </c>
      <c r="U234" s="113">
        <f t="shared" si="57"/>
        <v>0</v>
      </c>
      <c r="V234" s="26" t="e">
        <f t="shared" si="58"/>
        <v>#DIV/0!</v>
      </c>
    </row>
    <row r="235" spans="3:22" s="20" customFormat="1" ht="30" customHeight="1" hidden="1">
      <c r="C235" s="27"/>
      <c r="D235" s="27"/>
      <c r="E235" s="27"/>
      <c r="F235" s="28" t="s">
        <v>323</v>
      </c>
      <c r="G235" s="111">
        <f>H235</f>
        <v>0</v>
      </c>
      <c r="H235" s="111"/>
      <c r="I235" s="110"/>
      <c r="J235" s="25" t="e">
        <f t="shared" si="65"/>
        <v>#DIV/0!</v>
      </c>
      <c r="K235" s="6"/>
      <c r="L235" s="111">
        <f t="shared" si="66"/>
        <v>0</v>
      </c>
      <c r="M235" s="111"/>
      <c r="N235" s="111"/>
      <c r="O235" s="125"/>
      <c r="P235" s="59" t="e">
        <f t="shared" si="64"/>
        <v>#DIV/0!</v>
      </c>
      <c r="Q235" s="6"/>
      <c r="R235" s="110">
        <f t="shared" si="54"/>
        <v>0</v>
      </c>
      <c r="S235" s="110">
        <f t="shared" si="55"/>
        <v>0</v>
      </c>
      <c r="T235" s="113">
        <f t="shared" si="56"/>
        <v>0</v>
      </c>
      <c r="U235" s="113">
        <f t="shared" si="57"/>
        <v>0</v>
      </c>
      <c r="V235" s="26" t="e">
        <f t="shared" si="58"/>
        <v>#DIV/0!</v>
      </c>
    </row>
    <row r="236" spans="3:22" s="17" customFormat="1" ht="36" customHeight="1" hidden="1">
      <c r="C236" s="23" t="s">
        <v>315</v>
      </c>
      <c r="D236" s="23" t="s">
        <v>190</v>
      </c>
      <c r="E236" s="23" t="s">
        <v>56</v>
      </c>
      <c r="F236" s="41" t="s">
        <v>191</v>
      </c>
      <c r="G236" s="110">
        <f>SUM(G237:G242)</f>
        <v>0</v>
      </c>
      <c r="H236" s="110">
        <f>SUM(H237:H242)</f>
        <v>0</v>
      </c>
      <c r="I236" s="110">
        <f>SUM(I237:I242)</f>
        <v>0</v>
      </c>
      <c r="J236" s="25" t="e">
        <f t="shared" si="65"/>
        <v>#DIV/0!</v>
      </c>
      <c r="K236" s="1">
        <f>SUM(K237:K242)</f>
        <v>0</v>
      </c>
      <c r="L236" s="110">
        <f>L239</f>
        <v>0</v>
      </c>
      <c r="M236" s="110">
        <f>M239</f>
        <v>0</v>
      </c>
      <c r="N236" s="110">
        <f>N239</f>
        <v>0</v>
      </c>
      <c r="O236" s="124">
        <f>O239</f>
        <v>0</v>
      </c>
      <c r="P236" s="59" t="e">
        <f t="shared" si="64"/>
        <v>#DIV/0!</v>
      </c>
      <c r="Q236" s="1">
        <f>SUM(Q237:Q242)</f>
        <v>0</v>
      </c>
      <c r="R236" s="110">
        <f t="shared" si="54"/>
        <v>0</v>
      </c>
      <c r="S236" s="110">
        <f t="shared" si="55"/>
        <v>0</v>
      </c>
      <c r="T236" s="113">
        <f t="shared" si="56"/>
        <v>0</v>
      </c>
      <c r="U236" s="113">
        <f t="shared" si="57"/>
        <v>0</v>
      </c>
      <c r="V236" s="26" t="e">
        <f t="shared" si="58"/>
        <v>#DIV/0!</v>
      </c>
    </row>
    <row r="237" spans="3:22" s="20" customFormat="1" ht="46.5" hidden="1">
      <c r="C237" s="27"/>
      <c r="D237" s="27"/>
      <c r="E237" s="27"/>
      <c r="F237" s="28" t="s">
        <v>57</v>
      </c>
      <c r="G237" s="111">
        <f aca="true" t="shared" si="68" ref="G237:G292">H237+K237</f>
        <v>0</v>
      </c>
      <c r="H237" s="111"/>
      <c r="I237" s="110"/>
      <c r="J237" s="25" t="e">
        <f t="shared" si="65"/>
        <v>#DIV/0!</v>
      </c>
      <c r="K237" s="6"/>
      <c r="L237" s="111">
        <f t="shared" si="66"/>
        <v>0</v>
      </c>
      <c r="M237" s="111"/>
      <c r="N237" s="111"/>
      <c r="O237" s="125"/>
      <c r="P237" s="59" t="e">
        <f t="shared" si="64"/>
        <v>#DIV/0!</v>
      </c>
      <c r="Q237" s="6"/>
      <c r="R237" s="110">
        <f t="shared" si="54"/>
        <v>0</v>
      </c>
      <c r="S237" s="110">
        <f t="shared" si="55"/>
        <v>0</v>
      </c>
      <c r="T237" s="113">
        <f t="shared" si="56"/>
        <v>0</v>
      </c>
      <c r="U237" s="113">
        <f t="shared" si="57"/>
        <v>0</v>
      </c>
      <c r="V237" s="26" t="e">
        <f t="shared" si="58"/>
        <v>#DIV/0!</v>
      </c>
    </row>
    <row r="238" spans="3:22" s="20" customFormat="1" ht="46.5" hidden="1">
      <c r="C238" s="27"/>
      <c r="D238" s="27"/>
      <c r="E238" s="27"/>
      <c r="F238" s="28" t="s">
        <v>21</v>
      </c>
      <c r="G238" s="110"/>
      <c r="H238" s="111"/>
      <c r="I238" s="110"/>
      <c r="J238" s="25" t="e">
        <f t="shared" si="65"/>
        <v>#DIV/0!</v>
      </c>
      <c r="K238" s="6"/>
      <c r="L238" s="111">
        <f t="shared" si="66"/>
        <v>0</v>
      </c>
      <c r="M238" s="111"/>
      <c r="N238" s="111"/>
      <c r="O238" s="125"/>
      <c r="P238" s="59" t="e">
        <f t="shared" si="64"/>
        <v>#DIV/0!</v>
      </c>
      <c r="Q238" s="6"/>
      <c r="R238" s="110">
        <f t="shared" si="54"/>
        <v>0</v>
      </c>
      <c r="S238" s="110">
        <f t="shared" si="55"/>
        <v>0</v>
      </c>
      <c r="T238" s="113">
        <f t="shared" si="56"/>
        <v>0</v>
      </c>
      <c r="U238" s="113">
        <f t="shared" si="57"/>
        <v>0</v>
      </c>
      <c r="V238" s="26" t="e">
        <f t="shared" si="58"/>
        <v>#DIV/0!</v>
      </c>
    </row>
    <row r="239" spans="3:22" s="20" customFormat="1" ht="57" customHeight="1" hidden="1">
      <c r="C239" s="27"/>
      <c r="D239" s="27"/>
      <c r="E239" s="27"/>
      <c r="F239" s="28" t="s">
        <v>16</v>
      </c>
      <c r="G239" s="111">
        <f t="shared" si="68"/>
        <v>0</v>
      </c>
      <c r="H239" s="111"/>
      <c r="I239" s="111"/>
      <c r="J239" s="25"/>
      <c r="K239" s="6"/>
      <c r="L239" s="111"/>
      <c r="M239" s="111"/>
      <c r="N239" s="111"/>
      <c r="O239" s="125"/>
      <c r="P239" s="59" t="e">
        <f t="shared" si="64"/>
        <v>#DIV/0!</v>
      </c>
      <c r="Q239" s="6"/>
      <c r="R239" s="110">
        <f t="shared" si="54"/>
        <v>0</v>
      </c>
      <c r="S239" s="110">
        <f t="shared" si="55"/>
        <v>0</v>
      </c>
      <c r="T239" s="113">
        <f t="shared" si="56"/>
        <v>0</v>
      </c>
      <c r="U239" s="113">
        <f t="shared" si="57"/>
        <v>0</v>
      </c>
      <c r="V239" s="26" t="e">
        <f t="shared" si="58"/>
        <v>#DIV/0!</v>
      </c>
    </row>
    <row r="240" spans="3:22" s="20" customFormat="1" ht="30.75" hidden="1">
      <c r="C240" s="27"/>
      <c r="D240" s="27"/>
      <c r="E240" s="27"/>
      <c r="F240" s="28" t="s">
        <v>345</v>
      </c>
      <c r="G240" s="111">
        <f t="shared" si="68"/>
        <v>0</v>
      </c>
      <c r="H240" s="111"/>
      <c r="I240" s="111"/>
      <c r="J240" s="25"/>
      <c r="K240" s="6"/>
      <c r="L240" s="111">
        <f t="shared" si="66"/>
        <v>0</v>
      </c>
      <c r="M240" s="111"/>
      <c r="N240" s="111"/>
      <c r="O240" s="125"/>
      <c r="P240" s="59" t="e">
        <f t="shared" si="64"/>
        <v>#DIV/0!</v>
      </c>
      <c r="Q240" s="6"/>
      <c r="R240" s="110">
        <f t="shared" si="54"/>
        <v>0</v>
      </c>
      <c r="S240" s="110">
        <f t="shared" si="55"/>
        <v>0</v>
      </c>
      <c r="T240" s="113">
        <f t="shared" si="56"/>
        <v>0</v>
      </c>
      <c r="U240" s="113">
        <f t="shared" si="57"/>
        <v>0</v>
      </c>
      <c r="V240" s="26" t="e">
        <f t="shared" si="58"/>
        <v>#DIV/0!</v>
      </c>
    </row>
    <row r="241" spans="3:22" s="20" customFormat="1" ht="30.75" hidden="1">
      <c r="C241" s="27"/>
      <c r="D241" s="27"/>
      <c r="E241" s="27"/>
      <c r="F241" s="28" t="s">
        <v>81</v>
      </c>
      <c r="G241" s="111">
        <f t="shared" si="68"/>
        <v>0</v>
      </c>
      <c r="H241" s="111"/>
      <c r="I241" s="111"/>
      <c r="J241" s="25"/>
      <c r="K241" s="6"/>
      <c r="L241" s="111">
        <f t="shared" si="66"/>
        <v>0</v>
      </c>
      <c r="M241" s="111"/>
      <c r="N241" s="111"/>
      <c r="O241" s="125"/>
      <c r="P241" s="59" t="e">
        <f t="shared" si="64"/>
        <v>#DIV/0!</v>
      </c>
      <c r="Q241" s="6"/>
      <c r="R241" s="110">
        <f t="shared" si="54"/>
        <v>0</v>
      </c>
      <c r="S241" s="110">
        <f t="shared" si="55"/>
        <v>0</v>
      </c>
      <c r="T241" s="113">
        <f t="shared" si="56"/>
        <v>0</v>
      </c>
      <c r="U241" s="113">
        <f t="shared" si="57"/>
        <v>0</v>
      </c>
      <c r="V241" s="26" t="e">
        <f t="shared" si="58"/>
        <v>#DIV/0!</v>
      </c>
    </row>
    <row r="242" spans="3:22" s="20" customFormat="1" ht="47.25" hidden="1">
      <c r="C242" s="27"/>
      <c r="D242" s="27"/>
      <c r="E242" s="27"/>
      <c r="F242" s="28" t="s">
        <v>439</v>
      </c>
      <c r="G242" s="111">
        <f t="shared" si="68"/>
        <v>0</v>
      </c>
      <c r="H242" s="111"/>
      <c r="I242" s="111"/>
      <c r="J242" s="25"/>
      <c r="K242" s="6"/>
      <c r="L242" s="111">
        <f t="shared" si="66"/>
        <v>0</v>
      </c>
      <c r="M242" s="111"/>
      <c r="N242" s="111"/>
      <c r="O242" s="125"/>
      <c r="P242" s="59" t="e">
        <f t="shared" si="64"/>
        <v>#DIV/0!</v>
      </c>
      <c r="Q242" s="6"/>
      <c r="R242" s="110">
        <f t="shared" si="54"/>
        <v>0</v>
      </c>
      <c r="S242" s="110">
        <f t="shared" si="55"/>
        <v>0</v>
      </c>
      <c r="T242" s="113">
        <f t="shared" si="56"/>
        <v>0</v>
      </c>
      <c r="U242" s="113">
        <f t="shared" si="57"/>
        <v>0</v>
      </c>
      <c r="V242" s="26" t="e">
        <f t="shared" si="58"/>
        <v>#DIV/0!</v>
      </c>
    </row>
    <row r="243" spans="3:22" s="17" customFormat="1" ht="15" hidden="1">
      <c r="C243" s="23" t="s">
        <v>316</v>
      </c>
      <c r="D243" s="23" t="s">
        <v>194</v>
      </c>
      <c r="E243" s="23" t="s">
        <v>56</v>
      </c>
      <c r="F243" s="41" t="s">
        <v>195</v>
      </c>
      <c r="G243" s="110">
        <f t="shared" si="68"/>
        <v>0</v>
      </c>
      <c r="H243" s="110">
        <f>H244</f>
        <v>0</v>
      </c>
      <c r="I243" s="110">
        <f>I244</f>
        <v>0</v>
      </c>
      <c r="J243" s="25"/>
      <c r="K243" s="1">
        <f>K244</f>
        <v>0</v>
      </c>
      <c r="L243" s="110">
        <f>M243+Q243</f>
        <v>0</v>
      </c>
      <c r="M243" s="110">
        <f>M244</f>
        <v>0</v>
      </c>
      <c r="N243" s="110">
        <f>N244</f>
        <v>0</v>
      </c>
      <c r="O243" s="124">
        <f>O244</f>
        <v>0</v>
      </c>
      <c r="P243" s="59" t="e">
        <f t="shared" si="64"/>
        <v>#DIV/0!</v>
      </c>
      <c r="Q243" s="1">
        <f>Q244</f>
        <v>0</v>
      </c>
      <c r="R243" s="110">
        <f t="shared" si="54"/>
        <v>0</v>
      </c>
      <c r="S243" s="110">
        <f t="shared" si="55"/>
        <v>0</v>
      </c>
      <c r="T243" s="113">
        <f t="shared" si="56"/>
        <v>0</v>
      </c>
      <c r="U243" s="113">
        <f t="shared" si="57"/>
        <v>0</v>
      </c>
      <c r="V243" s="26" t="e">
        <f t="shared" si="58"/>
        <v>#DIV/0!</v>
      </c>
    </row>
    <row r="244" spans="3:22" s="20" customFormat="1" ht="46.5" hidden="1">
      <c r="C244" s="27"/>
      <c r="D244" s="27"/>
      <c r="E244" s="27"/>
      <c r="F244" s="28" t="s">
        <v>21</v>
      </c>
      <c r="G244" s="111">
        <f t="shared" si="68"/>
        <v>0</v>
      </c>
      <c r="H244" s="111"/>
      <c r="I244" s="111"/>
      <c r="J244" s="25"/>
      <c r="K244" s="6"/>
      <c r="L244" s="111">
        <f>N244+Q244</f>
        <v>0</v>
      </c>
      <c r="M244" s="111"/>
      <c r="N244" s="111"/>
      <c r="O244" s="125"/>
      <c r="P244" s="59" t="e">
        <f t="shared" si="64"/>
        <v>#DIV/0!</v>
      </c>
      <c r="Q244" s="6"/>
      <c r="R244" s="110">
        <f t="shared" si="54"/>
        <v>0</v>
      </c>
      <c r="S244" s="110">
        <f t="shared" si="55"/>
        <v>0</v>
      </c>
      <c r="T244" s="113">
        <f t="shared" si="56"/>
        <v>0</v>
      </c>
      <c r="U244" s="113">
        <f t="shared" si="57"/>
        <v>0</v>
      </c>
      <c r="V244" s="26" t="e">
        <f t="shared" si="58"/>
        <v>#DIV/0!</v>
      </c>
    </row>
    <row r="245" spans="3:22" s="17" customFormat="1" ht="33.75" customHeight="1" hidden="1">
      <c r="C245" s="23" t="s">
        <v>317</v>
      </c>
      <c r="D245" s="23" t="s">
        <v>196</v>
      </c>
      <c r="E245" s="23" t="s">
        <v>56</v>
      </c>
      <c r="F245" s="41" t="s">
        <v>408</v>
      </c>
      <c r="G245" s="110">
        <f>SUM(G246:G247)</f>
        <v>0</v>
      </c>
      <c r="H245" s="110">
        <f>SUM(H246:H247)</f>
        <v>0</v>
      </c>
      <c r="I245" s="110">
        <f aca="true" t="shared" si="69" ref="I245:Q245">SUM(I246:I247)</f>
        <v>0</v>
      </c>
      <c r="J245" s="25"/>
      <c r="K245" s="1">
        <f t="shared" si="69"/>
        <v>0</v>
      </c>
      <c r="L245" s="110">
        <f t="shared" si="69"/>
        <v>0</v>
      </c>
      <c r="M245" s="110">
        <f t="shared" si="69"/>
        <v>0</v>
      </c>
      <c r="N245" s="110">
        <f t="shared" si="69"/>
        <v>0</v>
      </c>
      <c r="O245" s="124">
        <f t="shared" si="69"/>
        <v>0</v>
      </c>
      <c r="P245" s="59" t="e">
        <f t="shared" si="64"/>
        <v>#DIV/0!</v>
      </c>
      <c r="Q245" s="1">
        <f t="shared" si="69"/>
        <v>8231700</v>
      </c>
      <c r="R245" s="110">
        <f t="shared" si="54"/>
        <v>0</v>
      </c>
      <c r="S245" s="110">
        <f t="shared" si="55"/>
        <v>0</v>
      </c>
      <c r="T245" s="113">
        <f t="shared" si="56"/>
        <v>0</v>
      </c>
      <c r="U245" s="113">
        <f t="shared" si="57"/>
        <v>0</v>
      </c>
      <c r="V245" s="26" t="e">
        <f t="shared" si="58"/>
        <v>#DIV/0!</v>
      </c>
    </row>
    <row r="246" spans="3:22" s="20" customFormat="1" ht="55.5" customHeight="1" hidden="1">
      <c r="C246" s="27"/>
      <c r="D246" s="27"/>
      <c r="E246" s="27"/>
      <c r="F246" s="28" t="s">
        <v>21</v>
      </c>
      <c r="G246" s="111"/>
      <c r="H246" s="111"/>
      <c r="I246" s="111"/>
      <c r="J246" s="25"/>
      <c r="K246" s="6"/>
      <c r="L246" s="110"/>
      <c r="M246" s="110"/>
      <c r="N246" s="110"/>
      <c r="O246" s="124"/>
      <c r="P246" s="59" t="e">
        <f t="shared" si="64"/>
        <v>#DIV/0!</v>
      </c>
      <c r="Q246" s="1">
        <v>5525000</v>
      </c>
      <c r="R246" s="110">
        <f t="shared" si="54"/>
        <v>0</v>
      </c>
      <c r="S246" s="110">
        <f t="shared" si="55"/>
        <v>0</v>
      </c>
      <c r="T246" s="113">
        <f t="shared" si="56"/>
        <v>0</v>
      </c>
      <c r="U246" s="113">
        <f t="shared" si="57"/>
        <v>0</v>
      </c>
      <c r="V246" s="26" t="e">
        <f t="shared" si="58"/>
        <v>#DIV/0!</v>
      </c>
    </row>
    <row r="247" spans="3:22" s="20" customFormat="1" ht="37.5" customHeight="1" hidden="1">
      <c r="C247" s="27"/>
      <c r="D247" s="27"/>
      <c r="E247" s="27"/>
      <c r="F247" s="28" t="s">
        <v>395</v>
      </c>
      <c r="G247" s="111"/>
      <c r="H247" s="111"/>
      <c r="I247" s="111"/>
      <c r="J247" s="25"/>
      <c r="K247" s="6"/>
      <c r="L247" s="110"/>
      <c r="M247" s="110"/>
      <c r="N247" s="110"/>
      <c r="O247" s="124"/>
      <c r="P247" s="59" t="e">
        <f t="shared" si="64"/>
        <v>#DIV/0!</v>
      </c>
      <c r="Q247" s="1">
        <v>2706700</v>
      </c>
      <c r="R247" s="110">
        <f t="shared" si="54"/>
        <v>0</v>
      </c>
      <c r="S247" s="110">
        <f t="shared" si="55"/>
        <v>0</v>
      </c>
      <c r="T247" s="113">
        <f t="shared" si="56"/>
        <v>0</v>
      </c>
      <c r="U247" s="113">
        <f t="shared" si="57"/>
        <v>0</v>
      </c>
      <c r="V247" s="26" t="e">
        <f t="shared" si="58"/>
        <v>#DIV/0!</v>
      </c>
    </row>
    <row r="248" spans="3:22" s="17" customFormat="1" ht="51.75" customHeight="1" hidden="1">
      <c r="C248" s="23" t="s">
        <v>318</v>
      </c>
      <c r="D248" s="23" t="s">
        <v>197</v>
      </c>
      <c r="E248" s="23" t="s">
        <v>56</v>
      </c>
      <c r="F248" s="41" t="s">
        <v>199</v>
      </c>
      <c r="G248" s="110">
        <f t="shared" si="68"/>
        <v>0</v>
      </c>
      <c r="H248" s="110">
        <f>H249</f>
        <v>0</v>
      </c>
      <c r="I248" s="110">
        <f>I249</f>
        <v>0</v>
      </c>
      <c r="J248" s="25" t="e">
        <f aca="true" t="shared" si="70" ref="J248:J253">I248/G248*100</f>
        <v>#DIV/0!</v>
      </c>
      <c r="K248" s="1">
        <f>K249</f>
        <v>0</v>
      </c>
      <c r="L248" s="110">
        <f>N248+Q248</f>
        <v>0</v>
      </c>
      <c r="M248" s="110">
        <f>M249</f>
        <v>0</v>
      </c>
      <c r="N248" s="110">
        <f>N249</f>
        <v>0</v>
      </c>
      <c r="O248" s="124">
        <f>O249</f>
        <v>0</v>
      </c>
      <c r="P248" s="59" t="e">
        <f t="shared" si="64"/>
        <v>#DIV/0!</v>
      </c>
      <c r="Q248" s="1">
        <f>Q249</f>
        <v>0</v>
      </c>
      <c r="R248" s="110">
        <f t="shared" si="54"/>
        <v>0</v>
      </c>
      <c r="S248" s="110">
        <f t="shared" si="55"/>
        <v>0</v>
      </c>
      <c r="T248" s="113">
        <f t="shared" si="56"/>
        <v>0</v>
      </c>
      <c r="U248" s="113">
        <f t="shared" si="57"/>
        <v>0</v>
      </c>
      <c r="V248" s="26" t="e">
        <f t="shared" si="58"/>
        <v>#DIV/0!</v>
      </c>
    </row>
    <row r="249" spans="3:22" s="20" customFormat="1" ht="60" customHeight="1" hidden="1">
      <c r="C249" s="27"/>
      <c r="D249" s="27"/>
      <c r="E249" s="27"/>
      <c r="F249" s="28" t="s">
        <v>200</v>
      </c>
      <c r="G249" s="111">
        <f t="shared" si="68"/>
        <v>0</v>
      </c>
      <c r="H249" s="111"/>
      <c r="I249" s="111"/>
      <c r="J249" s="25" t="e">
        <f t="shared" si="70"/>
        <v>#DIV/0!</v>
      </c>
      <c r="K249" s="6"/>
      <c r="L249" s="111">
        <f>N249+Q249</f>
        <v>0</v>
      </c>
      <c r="M249" s="111"/>
      <c r="N249" s="111"/>
      <c r="O249" s="125"/>
      <c r="P249" s="59" t="e">
        <f t="shared" si="64"/>
        <v>#DIV/0!</v>
      </c>
      <c r="Q249" s="6"/>
      <c r="R249" s="110">
        <f t="shared" si="54"/>
        <v>0</v>
      </c>
      <c r="S249" s="110">
        <f t="shared" si="55"/>
        <v>0</v>
      </c>
      <c r="T249" s="113">
        <f t="shared" si="56"/>
        <v>0</v>
      </c>
      <c r="U249" s="113">
        <f t="shared" si="57"/>
        <v>0</v>
      </c>
      <c r="V249" s="26" t="e">
        <f t="shared" si="58"/>
        <v>#DIV/0!</v>
      </c>
    </row>
    <row r="250" spans="3:22" s="17" customFormat="1" ht="51" customHeight="1" hidden="1">
      <c r="C250" s="23" t="s">
        <v>319</v>
      </c>
      <c r="D250" s="23" t="s">
        <v>198</v>
      </c>
      <c r="E250" s="23" t="s">
        <v>56</v>
      </c>
      <c r="F250" s="41" t="s">
        <v>201</v>
      </c>
      <c r="G250" s="110">
        <f t="shared" si="68"/>
        <v>0</v>
      </c>
      <c r="H250" s="110"/>
      <c r="I250" s="110"/>
      <c r="J250" s="25" t="e">
        <f t="shared" si="70"/>
        <v>#DIV/0!</v>
      </c>
      <c r="K250" s="1"/>
      <c r="L250" s="110">
        <f>N250+Q250</f>
        <v>0</v>
      </c>
      <c r="M250" s="110"/>
      <c r="N250" s="110"/>
      <c r="O250" s="124"/>
      <c r="P250" s="59" t="e">
        <f t="shared" si="64"/>
        <v>#DIV/0!</v>
      </c>
      <c r="Q250" s="1"/>
      <c r="R250" s="110">
        <f t="shared" si="54"/>
        <v>0</v>
      </c>
      <c r="S250" s="110">
        <f t="shared" si="55"/>
        <v>0</v>
      </c>
      <c r="T250" s="113">
        <f t="shared" si="56"/>
        <v>0</v>
      </c>
      <c r="U250" s="113">
        <f t="shared" si="57"/>
        <v>0</v>
      </c>
      <c r="V250" s="26" t="e">
        <f t="shared" si="58"/>
        <v>#DIV/0!</v>
      </c>
    </row>
    <row r="251" spans="1:22" s="17" customFormat="1" ht="36" customHeight="1">
      <c r="A251" s="17">
        <v>4</v>
      </c>
      <c r="B251" s="17">
        <v>40</v>
      </c>
      <c r="C251" s="23" t="s">
        <v>294</v>
      </c>
      <c r="D251" s="23" t="s">
        <v>55</v>
      </c>
      <c r="E251" s="23" t="s">
        <v>56</v>
      </c>
      <c r="F251" s="24" t="s">
        <v>192</v>
      </c>
      <c r="G251" s="110">
        <f>SUM(G252:G259)</f>
        <v>20558200</v>
      </c>
      <c r="H251" s="110">
        <f>SUM(H252:H259)</f>
        <v>5480200</v>
      </c>
      <c r="I251" s="110">
        <f>SUM(I252:I259)</f>
        <v>4216733.970000001</v>
      </c>
      <c r="J251" s="25">
        <f t="shared" si="70"/>
        <v>20.511202196690377</v>
      </c>
      <c r="K251" s="1"/>
      <c r="L251" s="110">
        <f aca="true" t="shared" si="71" ref="L251:Q251">SUM(L252:L259)</f>
        <v>1481500</v>
      </c>
      <c r="M251" s="110">
        <f t="shared" si="71"/>
        <v>1481500</v>
      </c>
      <c r="N251" s="110">
        <f t="shared" si="71"/>
        <v>115900</v>
      </c>
      <c r="O251" s="124">
        <f t="shared" si="71"/>
        <v>115900</v>
      </c>
      <c r="P251" s="59">
        <f t="shared" si="64"/>
        <v>7.823152210597367</v>
      </c>
      <c r="Q251" s="1">
        <f t="shared" si="71"/>
        <v>600000</v>
      </c>
      <c r="R251" s="110">
        <f t="shared" si="54"/>
        <v>22039700</v>
      </c>
      <c r="S251" s="110">
        <f t="shared" si="55"/>
        <v>6961700</v>
      </c>
      <c r="T251" s="113">
        <f t="shared" si="56"/>
        <v>4332633.970000001</v>
      </c>
      <c r="U251" s="113">
        <f t="shared" si="57"/>
        <v>115900</v>
      </c>
      <c r="V251" s="26">
        <f t="shared" si="58"/>
        <v>19.658316447138578</v>
      </c>
    </row>
    <row r="252" spans="3:22" s="20" customFormat="1" ht="51" customHeight="1">
      <c r="C252" s="27"/>
      <c r="D252" s="27"/>
      <c r="E252" s="27"/>
      <c r="F252" s="28" t="s">
        <v>21</v>
      </c>
      <c r="G252" s="110">
        <f>3000600+16573600</f>
        <v>19574200</v>
      </c>
      <c r="H252" s="110">
        <f>500100+4732100</f>
        <v>5232200</v>
      </c>
      <c r="I252" s="110">
        <f>113656.19+3939823.31</f>
        <v>4053479.5</v>
      </c>
      <c r="J252" s="25">
        <f t="shared" si="70"/>
        <v>20.708276711181046</v>
      </c>
      <c r="K252" s="6"/>
      <c r="L252" s="110"/>
      <c r="M252" s="110"/>
      <c r="N252" s="110"/>
      <c r="O252" s="124"/>
      <c r="P252" s="59"/>
      <c r="Q252" s="1">
        <v>500000</v>
      </c>
      <c r="R252" s="110">
        <f t="shared" si="54"/>
        <v>19574200</v>
      </c>
      <c r="S252" s="110">
        <f t="shared" si="55"/>
        <v>5232200</v>
      </c>
      <c r="T252" s="113">
        <f t="shared" si="56"/>
        <v>4053479.5</v>
      </c>
      <c r="U252" s="113">
        <f t="shared" si="57"/>
        <v>0</v>
      </c>
      <c r="V252" s="26">
        <f t="shared" si="58"/>
        <v>20.708276711181046</v>
      </c>
    </row>
    <row r="253" spans="3:22" s="20" customFormat="1" ht="63.75" customHeight="1" hidden="1">
      <c r="C253" s="27"/>
      <c r="D253" s="27"/>
      <c r="E253" s="27"/>
      <c r="F253" s="31" t="s">
        <v>80</v>
      </c>
      <c r="G253" s="111">
        <f t="shared" si="68"/>
        <v>0</v>
      </c>
      <c r="H253" s="111">
        <v>0</v>
      </c>
      <c r="I253" s="111"/>
      <c r="J253" s="25" t="e">
        <f t="shared" si="70"/>
        <v>#DIV/0!</v>
      </c>
      <c r="K253" s="6"/>
      <c r="L253" s="111">
        <f>N253+Q253</f>
        <v>0</v>
      </c>
      <c r="M253" s="111"/>
      <c r="N253" s="111"/>
      <c r="O253" s="124">
        <f>N253</f>
        <v>0</v>
      </c>
      <c r="P253" s="59" t="e">
        <f t="shared" si="64"/>
        <v>#DIV/0!</v>
      </c>
      <c r="Q253" s="6"/>
      <c r="R253" s="110">
        <f t="shared" si="54"/>
        <v>0</v>
      </c>
      <c r="S253" s="110">
        <f t="shared" si="55"/>
        <v>0</v>
      </c>
      <c r="T253" s="113">
        <f t="shared" si="56"/>
        <v>0</v>
      </c>
      <c r="U253" s="113">
        <f t="shared" si="57"/>
        <v>0</v>
      </c>
      <c r="V253" s="26" t="e">
        <f t="shared" si="58"/>
        <v>#DIV/0!</v>
      </c>
    </row>
    <row r="254" spans="3:22" s="20" customFormat="1" ht="51" customHeight="1" hidden="1">
      <c r="C254" s="27"/>
      <c r="D254" s="27"/>
      <c r="E254" s="27"/>
      <c r="F254" s="28" t="s">
        <v>57</v>
      </c>
      <c r="G254" s="111"/>
      <c r="H254" s="111"/>
      <c r="I254" s="111"/>
      <c r="J254" s="25"/>
      <c r="K254" s="6"/>
      <c r="L254" s="111"/>
      <c r="M254" s="111"/>
      <c r="N254" s="111"/>
      <c r="O254" s="124"/>
      <c r="P254" s="59" t="e">
        <f t="shared" si="64"/>
        <v>#DIV/0!</v>
      </c>
      <c r="Q254" s="6"/>
      <c r="R254" s="110">
        <f t="shared" si="54"/>
        <v>0</v>
      </c>
      <c r="S254" s="110">
        <f t="shared" si="55"/>
        <v>0</v>
      </c>
      <c r="T254" s="113">
        <f t="shared" si="56"/>
        <v>0</v>
      </c>
      <c r="U254" s="113">
        <f t="shared" si="57"/>
        <v>0</v>
      </c>
      <c r="V254" s="26" t="e">
        <f t="shared" si="58"/>
        <v>#DIV/0!</v>
      </c>
    </row>
    <row r="255" spans="3:22" s="20" customFormat="1" ht="51" customHeight="1">
      <c r="C255" s="27"/>
      <c r="D255" s="27"/>
      <c r="E255" s="27"/>
      <c r="F255" s="31" t="s">
        <v>345</v>
      </c>
      <c r="G255" s="110">
        <v>22000</v>
      </c>
      <c r="H255" s="110">
        <v>22000</v>
      </c>
      <c r="I255" s="110"/>
      <c r="J255" s="25">
        <f aca="true" t="shared" si="72" ref="J255:J263">I255/G255*100</f>
        <v>0</v>
      </c>
      <c r="K255" s="6"/>
      <c r="L255" s="110">
        <v>7200</v>
      </c>
      <c r="M255" s="110">
        <v>7200</v>
      </c>
      <c r="N255" s="110"/>
      <c r="O255" s="124">
        <f>N255</f>
        <v>0</v>
      </c>
      <c r="P255" s="59">
        <f t="shared" si="64"/>
        <v>0</v>
      </c>
      <c r="Q255" s="6"/>
      <c r="R255" s="110">
        <f t="shared" si="54"/>
        <v>29200</v>
      </c>
      <c r="S255" s="110">
        <f t="shared" si="55"/>
        <v>29200</v>
      </c>
      <c r="T255" s="113">
        <f t="shared" si="56"/>
        <v>0</v>
      </c>
      <c r="U255" s="113">
        <f t="shared" si="57"/>
        <v>0</v>
      </c>
      <c r="V255" s="26">
        <f t="shared" si="58"/>
        <v>0</v>
      </c>
    </row>
    <row r="256" spans="3:22" s="20" customFormat="1" ht="30.75" hidden="1">
      <c r="C256" s="27"/>
      <c r="D256" s="27"/>
      <c r="E256" s="27"/>
      <c r="F256" s="31" t="s">
        <v>396</v>
      </c>
      <c r="G256" s="111">
        <f t="shared" si="68"/>
        <v>0</v>
      </c>
      <c r="H256" s="111">
        <v>0</v>
      </c>
      <c r="I256" s="111">
        <v>0</v>
      </c>
      <c r="J256" s="25" t="e">
        <f t="shared" si="72"/>
        <v>#DIV/0!</v>
      </c>
      <c r="K256" s="6"/>
      <c r="L256" s="111">
        <f>N256+Q256</f>
        <v>0</v>
      </c>
      <c r="M256" s="111"/>
      <c r="N256" s="111"/>
      <c r="O256" s="124">
        <f>N256</f>
        <v>0</v>
      </c>
      <c r="P256" s="59" t="e">
        <f t="shared" si="64"/>
        <v>#DIV/0!</v>
      </c>
      <c r="Q256" s="6"/>
      <c r="R256" s="110">
        <f t="shared" si="54"/>
        <v>0</v>
      </c>
      <c r="S256" s="110">
        <f t="shared" si="55"/>
        <v>0</v>
      </c>
      <c r="T256" s="113">
        <f t="shared" si="56"/>
        <v>0</v>
      </c>
      <c r="U256" s="113">
        <f t="shared" si="57"/>
        <v>0</v>
      </c>
      <c r="V256" s="26" t="e">
        <f t="shared" si="58"/>
        <v>#DIV/0!</v>
      </c>
    </row>
    <row r="257" spans="3:22" s="20" customFormat="1" ht="42.75" customHeight="1">
      <c r="C257" s="27"/>
      <c r="D257" s="27"/>
      <c r="E257" s="27"/>
      <c r="F257" s="31" t="s">
        <v>78</v>
      </c>
      <c r="G257" s="110">
        <v>128000</v>
      </c>
      <c r="H257" s="110">
        <v>28000</v>
      </c>
      <c r="I257" s="110">
        <v>27999.97</v>
      </c>
      <c r="J257" s="25">
        <f t="shared" si="72"/>
        <v>21.874976562500002</v>
      </c>
      <c r="K257" s="6"/>
      <c r="L257" s="110">
        <v>1450000</v>
      </c>
      <c r="M257" s="110">
        <v>1450000</v>
      </c>
      <c r="N257" s="110">
        <v>93000</v>
      </c>
      <c r="O257" s="124">
        <v>93000</v>
      </c>
      <c r="P257" s="59">
        <f t="shared" si="64"/>
        <v>6.413793103448276</v>
      </c>
      <c r="Q257" s="1">
        <v>100000</v>
      </c>
      <c r="R257" s="110">
        <f aca="true" t="shared" si="73" ref="R257:R324">G257+L257</f>
        <v>1578000</v>
      </c>
      <c r="S257" s="110">
        <f aca="true" t="shared" si="74" ref="S257:S324">H257+M257</f>
        <v>1478000</v>
      </c>
      <c r="T257" s="113">
        <f aca="true" t="shared" si="75" ref="T257:T324">I257+N257</f>
        <v>120999.97</v>
      </c>
      <c r="U257" s="113">
        <f aca="true" t="shared" si="76" ref="U257:U324">O257</f>
        <v>93000</v>
      </c>
      <c r="V257" s="26">
        <f aca="true" t="shared" si="77" ref="V257:V324">T257/R257*100</f>
        <v>7.667932192648923</v>
      </c>
    </row>
    <row r="258" spans="3:22" s="20" customFormat="1" ht="30.75" hidden="1">
      <c r="C258" s="27"/>
      <c r="D258" s="27"/>
      <c r="E258" s="27"/>
      <c r="F258" s="31" t="s">
        <v>17</v>
      </c>
      <c r="G258" s="111">
        <f t="shared" si="68"/>
        <v>0</v>
      </c>
      <c r="H258" s="111">
        <v>0</v>
      </c>
      <c r="I258" s="111">
        <v>0</v>
      </c>
      <c r="J258" s="25" t="e">
        <f t="shared" si="72"/>
        <v>#DIV/0!</v>
      </c>
      <c r="K258" s="6"/>
      <c r="L258" s="111">
        <f>N258+Q258</f>
        <v>0</v>
      </c>
      <c r="M258" s="111"/>
      <c r="N258" s="111"/>
      <c r="O258" s="125"/>
      <c r="P258" s="59" t="e">
        <f t="shared" si="64"/>
        <v>#DIV/0!</v>
      </c>
      <c r="Q258" s="6"/>
      <c r="R258" s="110">
        <f t="shared" si="73"/>
        <v>0</v>
      </c>
      <c r="S258" s="110">
        <f t="shared" si="74"/>
        <v>0</v>
      </c>
      <c r="T258" s="113">
        <f t="shared" si="75"/>
        <v>0</v>
      </c>
      <c r="U258" s="113">
        <f t="shared" si="76"/>
        <v>0</v>
      </c>
      <c r="V258" s="26" t="e">
        <f t="shared" si="77"/>
        <v>#DIV/0!</v>
      </c>
    </row>
    <row r="259" spans="3:22" s="20" customFormat="1" ht="54.75" customHeight="1">
      <c r="C259" s="27"/>
      <c r="D259" s="27"/>
      <c r="E259" s="27"/>
      <c r="F259" s="31" t="s">
        <v>79</v>
      </c>
      <c r="G259" s="110">
        <v>834000</v>
      </c>
      <c r="H259" s="110">
        <v>198000</v>
      </c>
      <c r="I259" s="110">
        <v>135254.5</v>
      </c>
      <c r="J259" s="25">
        <f t="shared" si="72"/>
        <v>16.217565947242207</v>
      </c>
      <c r="K259" s="6"/>
      <c r="L259" s="110">
        <v>24300</v>
      </c>
      <c r="M259" s="110">
        <v>24300</v>
      </c>
      <c r="N259" s="110">
        <v>22900</v>
      </c>
      <c r="O259" s="124">
        <v>22900</v>
      </c>
      <c r="P259" s="59">
        <f t="shared" si="64"/>
        <v>94.23868312757202</v>
      </c>
      <c r="Q259" s="6"/>
      <c r="R259" s="110">
        <f t="shared" si="73"/>
        <v>858300</v>
      </c>
      <c r="S259" s="110">
        <f t="shared" si="74"/>
        <v>222300</v>
      </c>
      <c r="T259" s="113">
        <f t="shared" si="75"/>
        <v>158154.5</v>
      </c>
      <c r="U259" s="113">
        <f t="shared" si="76"/>
        <v>22900</v>
      </c>
      <c r="V259" s="26">
        <f t="shared" si="77"/>
        <v>18.42648258184784</v>
      </c>
    </row>
    <row r="260" spans="3:22" s="20" customFormat="1" ht="32.25" customHeight="1">
      <c r="C260" s="23" t="s">
        <v>303</v>
      </c>
      <c r="D260" s="23" t="s">
        <v>304</v>
      </c>
      <c r="E260" s="23" t="s">
        <v>56</v>
      </c>
      <c r="F260" s="24" t="s">
        <v>305</v>
      </c>
      <c r="G260" s="110">
        <f>G261</f>
        <v>71000</v>
      </c>
      <c r="H260" s="110">
        <f>H261</f>
        <v>17541</v>
      </c>
      <c r="I260" s="110">
        <f>I261</f>
        <v>14016.24</v>
      </c>
      <c r="J260" s="25">
        <f t="shared" si="72"/>
        <v>19.74118309859155</v>
      </c>
      <c r="K260" s="1">
        <f aca="true" t="shared" si="78" ref="K260:Q260">K261</f>
        <v>0</v>
      </c>
      <c r="L260" s="110">
        <f t="shared" si="78"/>
        <v>0</v>
      </c>
      <c r="M260" s="110">
        <f t="shared" si="78"/>
        <v>0</v>
      </c>
      <c r="N260" s="110">
        <f t="shared" si="78"/>
        <v>0</v>
      </c>
      <c r="O260" s="124">
        <f t="shared" si="78"/>
        <v>0</v>
      </c>
      <c r="P260" s="59"/>
      <c r="Q260" s="1">
        <f t="shared" si="78"/>
        <v>0</v>
      </c>
      <c r="R260" s="110">
        <f t="shared" si="73"/>
        <v>71000</v>
      </c>
      <c r="S260" s="110">
        <f t="shared" si="74"/>
        <v>17541</v>
      </c>
      <c r="T260" s="113">
        <f t="shared" si="75"/>
        <v>14016.24</v>
      </c>
      <c r="U260" s="113">
        <f t="shared" si="76"/>
        <v>0</v>
      </c>
      <c r="V260" s="26">
        <f t="shared" si="77"/>
        <v>19.74118309859155</v>
      </c>
    </row>
    <row r="261" spans="3:22" s="20" customFormat="1" ht="45" customHeight="1">
      <c r="C261" s="27"/>
      <c r="D261" s="27"/>
      <c r="E261" s="27"/>
      <c r="F261" s="31" t="s">
        <v>306</v>
      </c>
      <c r="G261" s="110">
        <v>71000</v>
      </c>
      <c r="H261" s="110">
        <v>17541</v>
      </c>
      <c r="I261" s="110">
        <v>14016.24</v>
      </c>
      <c r="J261" s="25">
        <f t="shared" si="72"/>
        <v>19.74118309859155</v>
      </c>
      <c r="K261" s="6"/>
      <c r="L261" s="111"/>
      <c r="M261" s="111"/>
      <c r="N261" s="111"/>
      <c r="O261" s="125"/>
      <c r="P261" s="59"/>
      <c r="Q261" s="6"/>
      <c r="R261" s="110">
        <f t="shared" si="73"/>
        <v>71000</v>
      </c>
      <c r="S261" s="110">
        <f t="shared" si="74"/>
        <v>17541</v>
      </c>
      <c r="T261" s="113">
        <f t="shared" si="75"/>
        <v>14016.24</v>
      </c>
      <c r="U261" s="113">
        <f t="shared" si="76"/>
        <v>0</v>
      </c>
      <c r="V261" s="26">
        <f t="shared" si="77"/>
        <v>19.74118309859155</v>
      </c>
    </row>
    <row r="262" spans="3:22" s="20" customFormat="1" ht="30" customHeight="1">
      <c r="C262" s="23" t="s">
        <v>307</v>
      </c>
      <c r="D262" s="23" t="s">
        <v>261</v>
      </c>
      <c r="E262" s="23" t="s">
        <v>88</v>
      </c>
      <c r="F262" s="24" t="s">
        <v>262</v>
      </c>
      <c r="G262" s="110">
        <f>G263</f>
        <v>816100</v>
      </c>
      <c r="H262" s="110">
        <f>H263</f>
        <v>203000</v>
      </c>
      <c r="I262" s="110">
        <f>I263</f>
        <v>74600</v>
      </c>
      <c r="J262" s="25">
        <f t="shared" si="72"/>
        <v>9.141036637666952</v>
      </c>
      <c r="K262" s="1">
        <f>K263</f>
        <v>0</v>
      </c>
      <c r="L262" s="110">
        <f>N262+Q262</f>
        <v>0</v>
      </c>
      <c r="M262" s="110">
        <f>M263</f>
        <v>0</v>
      </c>
      <c r="N262" s="110">
        <f>N263</f>
        <v>0</v>
      </c>
      <c r="O262" s="124">
        <f>O263</f>
        <v>0</v>
      </c>
      <c r="P262" s="59"/>
      <c r="Q262" s="1">
        <f>Q263</f>
        <v>0</v>
      </c>
      <c r="R262" s="110">
        <f t="shared" si="73"/>
        <v>816100</v>
      </c>
      <c r="S262" s="110">
        <f t="shared" si="74"/>
        <v>203000</v>
      </c>
      <c r="T262" s="113">
        <f t="shared" si="75"/>
        <v>74600</v>
      </c>
      <c r="U262" s="113">
        <f t="shared" si="76"/>
        <v>0</v>
      </c>
      <c r="V262" s="26">
        <f t="shared" si="77"/>
        <v>9.141036637666952</v>
      </c>
    </row>
    <row r="263" spans="3:22" s="20" customFormat="1" ht="53.25" customHeight="1">
      <c r="C263" s="27"/>
      <c r="D263" s="27"/>
      <c r="E263" s="27"/>
      <c r="F263" s="31" t="s">
        <v>79</v>
      </c>
      <c r="G263" s="110">
        <v>816100</v>
      </c>
      <c r="H263" s="110">
        <v>203000</v>
      </c>
      <c r="I263" s="110">
        <v>74600</v>
      </c>
      <c r="J263" s="25">
        <f t="shared" si="72"/>
        <v>9.141036637666952</v>
      </c>
      <c r="K263" s="6"/>
      <c r="L263" s="111"/>
      <c r="M263" s="111"/>
      <c r="N263" s="111"/>
      <c r="O263" s="125"/>
      <c r="P263" s="59"/>
      <c r="Q263" s="6"/>
      <c r="R263" s="110">
        <f t="shared" si="73"/>
        <v>816100</v>
      </c>
      <c r="S263" s="110">
        <f t="shared" si="74"/>
        <v>203000</v>
      </c>
      <c r="T263" s="113">
        <f t="shared" si="75"/>
        <v>74600</v>
      </c>
      <c r="U263" s="113">
        <f t="shared" si="76"/>
        <v>0</v>
      </c>
      <c r="V263" s="26">
        <f t="shared" si="77"/>
        <v>9.141036637666952</v>
      </c>
    </row>
    <row r="264" spans="1:22" s="17" customFormat="1" ht="30.75" customHeight="1">
      <c r="A264" s="29">
        <v>8</v>
      </c>
      <c r="B264" s="17">
        <v>41</v>
      </c>
      <c r="C264" s="23" t="s">
        <v>295</v>
      </c>
      <c r="D264" s="23" t="s">
        <v>70</v>
      </c>
      <c r="E264" s="23" t="s">
        <v>109</v>
      </c>
      <c r="F264" s="24" t="s">
        <v>204</v>
      </c>
      <c r="G264" s="110">
        <f>SUM(G265:G268)</f>
        <v>0</v>
      </c>
      <c r="H264" s="110">
        <f>SUM(H265:H268)</f>
        <v>0</v>
      </c>
      <c r="I264" s="110">
        <f aca="true" t="shared" si="79" ref="I264:Q264">SUM(I265:I268)</f>
        <v>0</v>
      </c>
      <c r="J264" s="25"/>
      <c r="K264" s="1">
        <f t="shared" si="79"/>
        <v>0</v>
      </c>
      <c r="L264" s="110">
        <f t="shared" si="79"/>
        <v>16098900</v>
      </c>
      <c r="M264" s="110">
        <f t="shared" si="79"/>
        <v>7388000</v>
      </c>
      <c r="N264" s="110">
        <f t="shared" si="79"/>
        <v>1315396.6099999999</v>
      </c>
      <c r="O264" s="124">
        <f t="shared" si="79"/>
        <v>1315396.6099999999</v>
      </c>
      <c r="P264" s="59">
        <f t="shared" si="64"/>
        <v>8.170723527694438</v>
      </c>
      <c r="Q264" s="1">
        <f t="shared" si="79"/>
        <v>4000000</v>
      </c>
      <c r="R264" s="110">
        <f t="shared" si="73"/>
        <v>16098900</v>
      </c>
      <c r="S264" s="110">
        <f t="shared" si="74"/>
        <v>7388000</v>
      </c>
      <c r="T264" s="113">
        <f t="shared" si="75"/>
        <v>1315396.6099999999</v>
      </c>
      <c r="U264" s="113">
        <f t="shared" si="76"/>
        <v>1315396.6099999999</v>
      </c>
      <c r="V264" s="26">
        <f t="shared" si="77"/>
        <v>8.170723527694438</v>
      </c>
    </row>
    <row r="265" spans="3:22" s="20" customFormat="1" ht="54.75" customHeight="1">
      <c r="C265" s="27"/>
      <c r="D265" s="27"/>
      <c r="E265" s="27"/>
      <c r="F265" s="31" t="s">
        <v>399</v>
      </c>
      <c r="G265" s="111">
        <f t="shared" si="68"/>
        <v>0</v>
      </c>
      <c r="H265" s="111"/>
      <c r="I265" s="111"/>
      <c r="J265" s="25"/>
      <c r="K265" s="6"/>
      <c r="L265" s="110">
        <v>3508100</v>
      </c>
      <c r="M265" s="110">
        <v>700000</v>
      </c>
      <c r="N265" s="110"/>
      <c r="O265" s="124"/>
      <c r="P265" s="59">
        <f t="shared" si="64"/>
        <v>0</v>
      </c>
      <c r="Q265" s="1">
        <f>1325000+1400000</f>
        <v>2725000</v>
      </c>
      <c r="R265" s="110">
        <f t="shared" si="73"/>
        <v>3508100</v>
      </c>
      <c r="S265" s="110">
        <f t="shared" si="74"/>
        <v>700000</v>
      </c>
      <c r="T265" s="113">
        <f t="shared" si="75"/>
        <v>0</v>
      </c>
      <c r="U265" s="113">
        <f t="shared" si="76"/>
        <v>0</v>
      </c>
      <c r="V265" s="26">
        <f t="shared" si="77"/>
        <v>0</v>
      </c>
    </row>
    <row r="266" spans="3:22" s="20" customFormat="1" ht="39" customHeight="1">
      <c r="C266" s="27"/>
      <c r="D266" s="27"/>
      <c r="E266" s="27"/>
      <c r="F266" s="37" t="s">
        <v>395</v>
      </c>
      <c r="G266" s="111">
        <f t="shared" si="68"/>
        <v>0</v>
      </c>
      <c r="H266" s="111"/>
      <c r="I266" s="111"/>
      <c r="J266" s="25"/>
      <c r="K266" s="6"/>
      <c r="L266" s="110">
        <v>9630574</v>
      </c>
      <c r="M266" s="110">
        <v>5557774</v>
      </c>
      <c r="N266" s="110">
        <v>976492.08</v>
      </c>
      <c r="O266" s="124">
        <f>N266</f>
        <v>976492.08</v>
      </c>
      <c r="P266" s="59">
        <f t="shared" si="64"/>
        <v>10.139500303927885</v>
      </c>
      <c r="Q266" s="1">
        <v>1275000</v>
      </c>
      <c r="R266" s="110">
        <f t="shared" si="73"/>
        <v>9630574</v>
      </c>
      <c r="S266" s="110">
        <f t="shared" si="74"/>
        <v>5557774</v>
      </c>
      <c r="T266" s="113">
        <f t="shared" si="75"/>
        <v>976492.08</v>
      </c>
      <c r="U266" s="113">
        <f t="shared" si="76"/>
        <v>976492.08</v>
      </c>
      <c r="V266" s="26">
        <f t="shared" si="77"/>
        <v>10.139500303927885</v>
      </c>
    </row>
    <row r="267" spans="3:22" s="20" customFormat="1" ht="46.5">
      <c r="C267" s="27"/>
      <c r="D267" s="27"/>
      <c r="E267" s="27"/>
      <c r="F267" s="28" t="s">
        <v>21</v>
      </c>
      <c r="G267" s="110">
        <f t="shared" si="68"/>
        <v>0</v>
      </c>
      <c r="H267" s="111"/>
      <c r="I267" s="111"/>
      <c r="J267" s="25"/>
      <c r="K267" s="6"/>
      <c r="L267" s="110">
        <v>2960226</v>
      </c>
      <c r="M267" s="110">
        <v>1130226</v>
      </c>
      <c r="N267" s="110">
        <v>338904.53</v>
      </c>
      <c r="O267" s="124">
        <v>338904.53</v>
      </c>
      <c r="P267" s="59">
        <f t="shared" si="64"/>
        <v>11.448603248535754</v>
      </c>
      <c r="Q267" s="6"/>
      <c r="R267" s="110">
        <f t="shared" si="73"/>
        <v>2960226</v>
      </c>
      <c r="S267" s="110">
        <f t="shared" si="74"/>
        <v>1130226</v>
      </c>
      <c r="T267" s="113">
        <f t="shared" si="75"/>
        <v>338904.53</v>
      </c>
      <c r="U267" s="113">
        <f t="shared" si="76"/>
        <v>338904.53</v>
      </c>
      <c r="V267" s="26">
        <f t="shared" si="77"/>
        <v>11.448603248535754</v>
      </c>
    </row>
    <row r="268" spans="3:22" s="20" customFormat="1" ht="36" customHeight="1" hidden="1">
      <c r="C268" s="27"/>
      <c r="D268" s="27"/>
      <c r="E268" s="27"/>
      <c r="F268" s="31" t="s">
        <v>25</v>
      </c>
      <c r="G268" s="110">
        <f t="shared" si="68"/>
        <v>0</v>
      </c>
      <c r="H268" s="111"/>
      <c r="I268" s="111"/>
      <c r="J268" s="25" t="e">
        <f>I268/G268*100</f>
        <v>#DIV/0!</v>
      </c>
      <c r="K268" s="6"/>
      <c r="L268" s="111">
        <f>N268+Q268</f>
        <v>0</v>
      </c>
      <c r="M268" s="111"/>
      <c r="N268" s="111"/>
      <c r="O268" s="125"/>
      <c r="P268" s="59" t="e">
        <f t="shared" si="64"/>
        <v>#DIV/0!</v>
      </c>
      <c r="Q268" s="6"/>
      <c r="R268" s="110">
        <f t="shared" si="73"/>
        <v>0</v>
      </c>
      <c r="S268" s="110">
        <f t="shared" si="74"/>
        <v>0</v>
      </c>
      <c r="T268" s="113">
        <f t="shared" si="75"/>
        <v>0</v>
      </c>
      <c r="U268" s="113">
        <f t="shared" si="76"/>
        <v>0</v>
      </c>
      <c r="V268" s="26" t="e">
        <f t="shared" si="77"/>
        <v>#DIV/0!</v>
      </c>
    </row>
    <row r="269" spans="2:22" s="17" customFormat="1" ht="35.25" customHeight="1">
      <c r="B269" s="17">
        <v>73</v>
      </c>
      <c r="C269" s="23" t="s">
        <v>320</v>
      </c>
      <c r="D269" s="23" t="s">
        <v>202</v>
      </c>
      <c r="E269" s="23" t="s">
        <v>109</v>
      </c>
      <c r="F269" s="24" t="s">
        <v>203</v>
      </c>
      <c r="G269" s="110">
        <f t="shared" si="68"/>
        <v>0</v>
      </c>
      <c r="H269" s="110">
        <f>H270</f>
        <v>0</v>
      </c>
      <c r="I269" s="110">
        <f>I270</f>
        <v>0</v>
      </c>
      <c r="J269" s="25"/>
      <c r="K269" s="1">
        <f>K270</f>
        <v>0</v>
      </c>
      <c r="L269" s="110">
        <f>L270+L271</f>
        <v>19786700</v>
      </c>
      <c r="M269" s="110">
        <f>M270+M271</f>
        <v>5527400</v>
      </c>
      <c r="N269" s="110">
        <f>N270+N271</f>
        <v>1253934.2</v>
      </c>
      <c r="O269" s="124">
        <f>O270+O271</f>
        <v>1253934.2</v>
      </c>
      <c r="P269" s="59">
        <f t="shared" si="64"/>
        <v>6.337257855023829</v>
      </c>
      <c r="Q269" s="1">
        <f>Q270</f>
        <v>2105000</v>
      </c>
      <c r="R269" s="110">
        <f t="shared" si="73"/>
        <v>19786700</v>
      </c>
      <c r="S269" s="110">
        <f t="shared" si="74"/>
        <v>5527400</v>
      </c>
      <c r="T269" s="113">
        <f t="shared" si="75"/>
        <v>1253934.2</v>
      </c>
      <c r="U269" s="113">
        <f t="shared" si="76"/>
        <v>1253934.2</v>
      </c>
      <c r="V269" s="26">
        <f t="shared" si="77"/>
        <v>6.337257855023829</v>
      </c>
    </row>
    <row r="270" spans="3:22" s="17" customFormat="1" ht="54.75" customHeight="1">
      <c r="C270" s="23"/>
      <c r="D270" s="23"/>
      <c r="E270" s="23"/>
      <c r="F270" s="31" t="s">
        <v>84</v>
      </c>
      <c r="G270" s="111">
        <f t="shared" si="68"/>
        <v>0</v>
      </c>
      <c r="H270" s="110"/>
      <c r="I270" s="110"/>
      <c r="J270" s="25"/>
      <c r="K270" s="1"/>
      <c r="L270" s="110">
        <v>19786700</v>
      </c>
      <c r="M270" s="110">
        <v>5527400</v>
      </c>
      <c r="N270" s="110">
        <v>1253934.2</v>
      </c>
      <c r="O270" s="124">
        <v>1253934.2</v>
      </c>
      <c r="P270" s="59">
        <f t="shared" si="64"/>
        <v>6.337257855023829</v>
      </c>
      <c r="Q270" s="1">
        <f>1285000+10000+810000</f>
        <v>2105000</v>
      </c>
      <c r="R270" s="110">
        <f t="shared" si="73"/>
        <v>19786700</v>
      </c>
      <c r="S270" s="110">
        <f t="shared" si="74"/>
        <v>5527400</v>
      </c>
      <c r="T270" s="113">
        <f t="shared" si="75"/>
        <v>1253934.2</v>
      </c>
      <c r="U270" s="113">
        <f t="shared" si="76"/>
        <v>1253934.2</v>
      </c>
      <c r="V270" s="26">
        <f t="shared" si="77"/>
        <v>6.337257855023829</v>
      </c>
    </row>
    <row r="271" spans="3:22" s="17" customFormat="1" ht="87" customHeight="1" hidden="1">
      <c r="C271" s="23"/>
      <c r="D271" s="23"/>
      <c r="E271" s="23"/>
      <c r="F271" s="31" t="s">
        <v>440</v>
      </c>
      <c r="G271" s="111"/>
      <c r="H271" s="110"/>
      <c r="I271" s="110"/>
      <c r="J271" s="25"/>
      <c r="K271" s="1"/>
      <c r="L271" s="110"/>
      <c r="M271" s="110"/>
      <c r="N271" s="110"/>
      <c r="O271" s="124"/>
      <c r="P271" s="59" t="e">
        <f t="shared" si="64"/>
        <v>#DIV/0!</v>
      </c>
      <c r="Q271" s="1"/>
      <c r="R271" s="110">
        <f t="shared" si="73"/>
        <v>0</v>
      </c>
      <c r="S271" s="110">
        <f t="shared" si="74"/>
        <v>0</v>
      </c>
      <c r="T271" s="113">
        <f t="shared" si="75"/>
        <v>0</v>
      </c>
      <c r="U271" s="113">
        <f t="shared" si="76"/>
        <v>0</v>
      </c>
      <c r="V271" s="26" t="e">
        <f t="shared" si="77"/>
        <v>#DIV/0!</v>
      </c>
    </row>
    <row r="272" spans="3:22" s="17" customFormat="1" ht="32.25" customHeight="1">
      <c r="C272" s="23" t="s">
        <v>353</v>
      </c>
      <c r="D272" s="23" t="s">
        <v>354</v>
      </c>
      <c r="E272" s="23" t="s">
        <v>109</v>
      </c>
      <c r="F272" s="24" t="s">
        <v>355</v>
      </c>
      <c r="G272" s="111">
        <f t="shared" si="68"/>
        <v>0</v>
      </c>
      <c r="H272" s="110">
        <f>H273</f>
        <v>0</v>
      </c>
      <c r="I272" s="110">
        <f aca="true" t="shared" si="80" ref="I272:Q272">I273</f>
        <v>0</v>
      </c>
      <c r="J272" s="25"/>
      <c r="K272" s="1">
        <f t="shared" si="80"/>
        <v>0</v>
      </c>
      <c r="L272" s="110">
        <f t="shared" si="80"/>
        <v>1392000</v>
      </c>
      <c r="M272" s="110">
        <f t="shared" si="80"/>
        <v>390000</v>
      </c>
      <c r="N272" s="110">
        <f t="shared" si="80"/>
        <v>0</v>
      </c>
      <c r="O272" s="124">
        <f t="shared" si="80"/>
        <v>0</v>
      </c>
      <c r="P272" s="59">
        <f t="shared" si="64"/>
        <v>0</v>
      </c>
      <c r="Q272" s="1">
        <f t="shared" si="80"/>
        <v>0</v>
      </c>
      <c r="R272" s="110">
        <f t="shared" si="73"/>
        <v>1392000</v>
      </c>
      <c r="S272" s="110">
        <f t="shared" si="74"/>
        <v>390000</v>
      </c>
      <c r="T272" s="113">
        <f t="shared" si="75"/>
        <v>0</v>
      </c>
      <c r="U272" s="113">
        <f t="shared" si="76"/>
        <v>0</v>
      </c>
      <c r="V272" s="26">
        <f t="shared" si="77"/>
        <v>0</v>
      </c>
    </row>
    <row r="273" spans="3:22" s="17" customFormat="1" ht="51" customHeight="1">
      <c r="C273" s="27"/>
      <c r="D273" s="27"/>
      <c r="E273" s="27"/>
      <c r="F273" s="31" t="s">
        <v>84</v>
      </c>
      <c r="G273" s="111">
        <f t="shared" si="68"/>
        <v>0</v>
      </c>
      <c r="H273" s="111"/>
      <c r="I273" s="111"/>
      <c r="J273" s="25"/>
      <c r="K273" s="6"/>
      <c r="L273" s="110">
        <v>1392000</v>
      </c>
      <c r="M273" s="110">
        <v>390000</v>
      </c>
      <c r="N273" s="110"/>
      <c r="O273" s="124"/>
      <c r="P273" s="59">
        <f t="shared" si="64"/>
        <v>0</v>
      </c>
      <c r="Q273" s="6"/>
      <c r="R273" s="110">
        <f t="shared" si="73"/>
        <v>1392000</v>
      </c>
      <c r="S273" s="110">
        <f t="shared" si="74"/>
        <v>390000</v>
      </c>
      <c r="T273" s="113">
        <f t="shared" si="75"/>
        <v>0</v>
      </c>
      <c r="U273" s="113">
        <f t="shared" si="76"/>
        <v>0</v>
      </c>
      <c r="V273" s="26">
        <f t="shared" si="77"/>
        <v>0</v>
      </c>
    </row>
    <row r="274" spans="3:22" s="17" customFormat="1" ht="26.25" customHeight="1" hidden="1">
      <c r="C274" s="23" t="s">
        <v>324</v>
      </c>
      <c r="D274" s="23" t="s">
        <v>325</v>
      </c>
      <c r="E274" s="23" t="s">
        <v>109</v>
      </c>
      <c r="F274" s="24" t="s">
        <v>409</v>
      </c>
      <c r="G274" s="110">
        <f>G275</f>
        <v>0</v>
      </c>
      <c r="H274" s="110">
        <f>H275</f>
        <v>0</v>
      </c>
      <c r="I274" s="110">
        <f aca="true" t="shared" si="81" ref="I274:Q274">I275</f>
        <v>0</v>
      </c>
      <c r="J274" s="25"/>
      <c r="K274" s="1">
        <f t="shared" si="81"/>
        <v>0</v>
      </c>
      <c r="L274" s="110">
        <f t="shared" si="81"/>
        <v>0</v>
      </c>
      <c r="M274" s="110">
        <f t="shared" si="81"/>
        <v>0</v>
      </c>
      <c r="N274" s="110">
        <f t="shared" si="81"/>
        <v>0</v>
      </c>
      <c r="O274" s="124">
        <f t="shared" si="81"/>
        <v>0</v>
      </c>
      <c r="P274" s="25" t="e">
        <f>N274/L274*100</f>
        <v>#DIV/0!</v>
      </c>
      <c r="Q274" s="1">
        <f t="shared" si="81"/>
        <v>1160000</v>
      </c>
      <c r="R274" s="110">
        <f t="shared" si="73"/>
        <v>0</v>
      </c>
      <c r="S274" s="110">
        <f t="shared" si="74"/>
        <v>0</v>
      </c>
      <c r="T274" s="113">
        <f t="shared" si="75"/>
        <v>0</v>
      </c>
      <c r="U274" s="113">
        <f t="shared" si="76"/>
        <v>0</v>
      </c>
      <c r="V274" s="26" t="e">
        <f t="shared" si="77"/>
        <v>#DIV/0!</v>
      </c>
    </row>
    <row r="275" spans="3:22" s="17" customFormat="1" ht="54.75" customHeight="1" hidden="1">
      <c r="C275" s="27"/>
      <c r="D275" s="27"/>
      <c r="E275" s="27"/>
      <c r="F275" s="31" t="s">
        <v>84</v>
      </c>
      <c r="G275" s="111">
        <f t="shared" si="68"/>
        <v>0</v>
      </c>
      <c r="H275" s="110"/>
      <c r="I275" s="110"/>
      <c r="J275" s="25"/>
      <c r="K275" s="1"/>
      <c r="L275" s="110"/>
      <c r="M275" s="110"/>
      <c r="N275" s="110"/>
      <c r="O275" s="124"/>
      <c r="P275" s="25" t="e">
        <f>N275/L275*100</f>
        <v>#DIV/0!</v>
      </c>
      <c r="Q275" s="1">
        <v>1160000</v>
      </c>
      <c r="R275" s="110">
        <f t="shared" si="73"/>
        <v>0</v>
      </c>
      <c r="S275" s="110">
        <f t="shared" si="74"/>
        <v>0</v>
      </c>
      <c r="T275" s="113">
        <f t="shared" si="75"/>
        <v>0</v>
      </c>
      <c r="U275" s="113">
        <f t="shared" si="76"/>
        <v>0</v>
      </c>
      <c r="V275" s="26" t="e">
        <f t="shared" si="77"/>
        <v>#DIV/0!</v>
      </c>
    </row>
    <row r="276" spans="3:22" s="17" customFormat="1" ht="43.5" customHeight="1">
      <c r="C276" s="23" t="s">
        <v>326</v>
      </c>
      <c r="D276" s="23" t="s">
        <v>327</v>
      </c>
      <c r="E276" s="23" t="s">
        <v>31</v>
      </c>
      <c r="F276" s="24" t="s">
        <v>328</v>
      </c>
      <c r="G276" s="110">
        <f t="shared" si="68"/>
        <v>0</v>
      </c>
      <c r="H276" s="110">
        <f aca="true" t="shared" si="82" ref="H276:Q276">H277</f>
        <v>0</v>
      </c>
      <c r="I276" s="110">
        <f t="shared" si="82"/>
        <v>0</v>
      </c>
      <c r="J276" s="25"/>
      <c r="K276" s="1">
        <f t="shared" si="82"/>
        <v>0</v>
      </c>
      <c r="L276" s="110">
        <f t="shared" si="82"/>
        <v>2600000</v>
      </c>
      <c r="M276" s="110">
        <f t="shared" si="82"/>
        <v>0</v>
      </c>
      <c r="N276" s="110">
        <f t="shared" si="82"/>
        <v>0</v>
      </c>
      <c r="O276" s="124">
        <f t="shared" si="82"/>
        <v>0</v>
      </c>
      <c r="P276" s="25">
        <f aca="true" t="shared" si="83" ref="P276:P297">N276/L276*100</f>
        <v>0</v>
      </c>
      <c r="Q276" s="1">
        <f t="shared" si="82"/>
        <v>0</v>
      </c>
      <c r="R276" s="110">
        <f t="shared" si="73"/>
        <v>2600000</v>
      </c>
      <c r="S276" s="110">
        <f t="shared" si="74"/>
        <v>0</v>
      </c>
      <c r="T276" s="113">
        <f t="shared" si="75"/>
        <v>0</v>
      </c>
      <c r="U276" s="113">
        <f t="shared" si="76"/>
        <v>0</v>
      </c>
      <c r="V276" s="26">
        <f t="shared" si="77"/>
        <v>0</v>
      </c>
    </row>
    <row r="277" spans="3:22" s="20" customFormat="1" ht="56.25" customHeight="1">
      <c r="C277" s="27"/>
      <c r="D277" s="27"/>
      <c r="E277" s="27"/>
      <c r="F277" s="31" t="s">
        <v>84</v>
      </c>
      <c r="G277" s="111">
        <f t="shared" si="68"/>
        <v>0</v>
      </c>
      <c r="H277" s="111"/>
      <c r="I277" s="111"/>
      <c r="J277" s="25"/>
      <c r="K277" s="6"/>
      <c r="L277" s="110">
        <v>2600000</v>
      </c>
      <c r="M277" s="110">
        <v>0</v>
      </c>
      <c r="N277" s="110"/>
      <c r="O277" s="124"/>
      <c r="P277" s="25">
        <f t="shared" si="83"/>
        <v>0</v>
      </c>
      <c r="Q277" s="6"/>
      <c r="R277" s="110">
        <f t="shared" si="73"/>
        <v>2600000</v>
      </c>
      <c r="S277" s="110">
        <f t="shared" si="74"/>
        <v>0</v>
      </c>
      <c r="T277" s="113">
        <f t="shared" si="75"/>
        <v>0</v>
      </c>
      <c r="U277" s="113">
        <f t="shared" si="76"/>
        <v>0</v>
      </c>
      <c r="V277" s="26">
        <f t="shared" si="77"/>
        <v>0</v>
      </c>
    </row>
    <row r="278" spans="3:22" s="17" customFormat="1" ht="63" customHeight="1" hidden="1">
      <c r="C278" s="23" t="s">
        <v>330</v>
      </c>
      <c r="D278" s="23" t="s">
        <v>331</v>
      </c>
      <c r="E278" s="23" t="s">
        <v>31</v>
      </c>
      <c r="F278" s="34" t="s">
        <v>332</v>
      </c>
      <c r="G278" s="110">
        <f t="shared" si="68"/>
        <v>0</v>
      </c>
      <c r="H278" s="110">
        <f>H279+H280</f>
        <v>0</v>
      </c>
      <c r="I278" s="110">
        <f>I279+I280</f>
        <v>0</v>
      </c>
      <c r="J278" s="25"/>
      <c r="K278" s="1">
        <f>K279+K280</f>
        <v>0</v>
      </c>
      <c r="L278" s="110">
        <f>L280+L279</f>
        <v>0</v>
      </c>
      <c r="M278" s="110">
        <f>M280+M279</f>
        <v>0</v>
      </c>
      <c r="N278" s="110">
        <f>N280+N279</f>
        <v>0</v>
      </c>
      <c r="O278" s="124">
        <f>O280+O279</f>
        <v>0</v>
      </c>
      <c r="P278" s="25" t="e">
        <f t="shared" si="83"/>
        <v>#DIV/0!</v>
      </c>
      <c r="Q278" s="1">
        <f>Q279+Q280</f>
        <v>0</v>
      </c>
      <c r="R278" s="110">
        <f t="shared" si="73"/>
        <v>0</v>
      </c>
      <c r="S278" s="110">
        <f t="shared" si="74"/>
        <v>0</v>
      </c>
      <c r="T278" s="113">
        <f t="shared" si="75"/>
        <v>0</v>
      </c>
      <c r="U278" s="113">
        <f t="shared" si="76"/>
        <v>0</v>
      </c>
      <c r="V278" s="26" t="e">
        <f t="shared" si="77"/>
        <v>#DIV/0!</v>
      </c>
    </row>
    <row r="279" spans="3:22" s="20" customFormat="1" ht="57" customHeight="1" hidden="1">
      <c r="C279" s="27"/>
      <c r="D279" s="27"/>
      <c r="E279" s="27"/>
      <c r="F279" s="63" t="s">
        <v>441</v>
      </c>
      <c r="G279" s="111">
        <f t="shared" si="68"/>
        <v>0</v>
      </c>
      <c r="H279" s="111"/>
      <c r="I279" s="111"/>
      <c r="J279" s="25"/>
      <c r="K279" s="6"/>
      <c r="L279" s="111"/>
      <c r="M279" s="111"/>
      <c r="N279" s="111"/>
      <c r="O279" s="125"/>
      <c r="P279" s="25" t="e">
        <f t="shared" si="83"/>
        <v>#DIV/0!</v>
      </c>
      <c r="Q279" s="6"/>
      <c r="R279" s="110">
        <f t="shared" si="73"/>
        <v>0</v>
      </c>
      <c r="S279" s="110">
        <f t="shared" si="74"/>
        <v>0</v>
      </c>
      <c r="T279" s="113">
        <f t="shared" si="75"/>
        <v>0</v>
      </c>
      <c r="U279" s="113">
        <f t="shared" si="76"/>
        <v>0</v>
      </c>
      <c r="V279" s="26" t="e">
        <f t="shared" si="77"/>
        <v>#DIV/0!</v>
      </c>
    </row>
    <row r="280" spans="3:22" s="20" customFormat="1" ht="92.25" customHeight="1" hidden="1">
      <c r="C280" s="27"/>
      <c r="D280" s="27"/>
      <c r="E280" s="27"/>
      <c r="F280" s="63" t="s">
        <v>359</v>
      </c>
      <c r="G280" s="111">
        <f t="shared" si="68"/>
        <v>0</v>
      </c>
      <c r="H280" s="111"/>
      <c r="I280" s="111"/>
      <c r="J280" s="25"/>
      <c r="K280" s="6"/>
      <c r="L280" s="111"/>
      <c r="M280" s="111"/>
      <c r="N280" s="111"/>
      <c r="O280" s="125"/>
      <c r="P280" s="25" t="e">
        <f t="shared" si="83"/>
        <v>#DIV/0!</v>
      </c>
      <c r="Q280" s="6"/>
      <c r="R280" s="110">
        <f t="shared" si="73"/>
        <v>0</v>
      </c>
      <c r="S280" s="110">
        <f t="shared" si="74"/>
        <v>0</v>
      </c>
      <c r="T280" s="113">
        <f t="shared" si="75"/>
        <v>0</v>
      </c>
      <c r="U280" s="113">
        <f t="shared" si="76"/>
        <v>0</v>
      </c>
      <c r="V280" s="26" t="e">
        <f t="shared" si="77"/>
        <v>#DIV/0!</v>
      </c>
    </row>
    <row r="281" spans="1:22" s="17" customFormat="1" ht="48.75" customHeight="1">
      <c r="A281" s="29">
        <v>6</v>
      </c>
      <c r="B281" s="17">
        <v>43</v>
      </c>
      <c r="C281" s="23" t="s">
        <v>321</v>
      </c>
      <c r="D281" s="23" t="s">
        <v>256</v>
      </c>
      <c r="E281" s="23" t="s">
        <v>31</v>
      </c>
      <c r="F281" s="32" t="s">
        <v>205</v>
      </c>
      <c r="G281" s="117">
        <f aca="true" t="shared" si="84" ref="G281:Q281">SUM(G282:G286)</f>
        <v>17900</v>
      </c>
      <c r="H281" s="117">
        <f t="shared" si="84"/>
        <v>17900</v>
      </c>
      <c r="I281" s="117">
        <f t="shared" si="84"/>
        <v>459.2</v>
      </c>
      <c r="J281" s="25">
        <f aca="true" t="shared" si="85" ref="J281:J288">I281/G281*100</f>
        <v>2.56536312849162</v>
      </c>
      <c r="K281" s="60">
        <f t="shared" si="84"/>
        <v>0</v>
      </c>
      <c r="L281" s="110">
        <f>L282+L284+L285+L286</f>
        <v>0</v>
      </c>
      <c r="M281" s="110">
        <f>M282+M284+M285+M286</f>
        <v>0</v>
      </c>
      <c r="N281" s="110">
        <f>N282+N284+N285+N286</f>
        <v>0</v>
      </c>
      <c r="O281" s="124">
        <f>O282+O284+O285+O286</f>
        <v>0</v>
      </c>
      <c r="P281" s="25"/>
      <c r="Q281" s="60">
        <f t="shared" si="84"/>
        <v>0</v>
      </c>
      <c r="R281" s="110">
        <f t="shared" si="73"/>
        <v>17900</v>
      </c>
      <c r="S281" s="110">
        <f t="shared" si="74"/>
        <v>17900</v>
      </c>
      <c r="T281" s="113">
        <f t="shared" si="75"/>
        <v>459.2</v>
      </c>
      <c r="U281" s="113">
        <f t="shared" si="76"/>
        <v>0</v>
      </c>
      <c r="V281" s="26">
        <f t="shared" si="77"/>
        <v>2.56536312849162</v>
      </c>
    </row>
    <row r="282" spans="3:22" s="20" customFormat="1" ht="46.5" hidden="1">
      <c r="C282" s="27"/>
      <c r="D282" s="27"/>
      <c r="E282" s="27"/>
      <c r="F282" s="33" t="s">
        <v>82</v>
      </c>
      <c r="G282" s="111"/>
      <c r="H282" s="111"/>
      <c r="I282" s="110"/>
      <c r="J282" s="25" t="e">
        <f t="shared" si="85"/>
        <v>#DIV/0!</v>
      </c>
      <c r="K282" s="6"/>
      <c r="L282" s="111"/>
      <c r="M282" s="111"/>
      <c r="N282" s="111"/>
      <c r="O282" s="124"/>
      <c r="P282" s="25" t="e">
        <f t="shared" si="83"/>
        <v>#DIV/0!</v>
      </c>
      <c r="Q282" s="6"/>
      <c r="R282" s="110">
        <f t="shared" si="73"/>
        <v>0</v>
      </c>
      <c r="S282" s="110">
        <f t="shared" si="74"/>
        <v>0</v>
      </c>
      <c r="T282" s="113">
        <f t="shared" si="75"/>
        <v>0</v>
      </c>
      <c r="U282" s="113">
        <f t="shared" si="76"/>
        <v>0</v>
      </c>
      <c r="V282" s="26" t="e">
        <f t="shared" si="77"/>
        <v>#DIV/0!</v>
      </c>
    </row>
    <row r="283" spans="3:22" s="20" customFormat="1" ht="46.5" hidden="1">
      <c r="C283" s="27"/>
      <c r="D283" s="27"/>
      <c r="E283" s="27"/>
      <c r="F283" s="33" t="s">
        <v>83</v>
      </c>
      <c r="G283" s="111">
        <f t="shared" si="68"/>
        <v>0</v>
      </c>
      <c r="H283" s="111"/>
      <c r="I283" s="111">
        <v>0</v>
      </c>
      <c r="J283" s="25" t="e">
        <f t="shared" si="85"/>
        <v>#DIV/0!</v>
      </c>
      <c r="K283" s="6"/>
      <c r="L283" s="111">
        <f>N283+Q283</f>
        <v>0</v>
      </c>
      <c r="M283" s="111"/>
      <c r="N283" s="111"/>
      <c r="O283" s="124">
        <f>N283</f>
        <v>0</v>
      </c>
      <c r="P283" s="25" t="e">
        <f t="shared" si="83"/>
        <v>#DIV/0!</v>
      </c>
      <c r="Q283" s="6"/>
      <c r="R283" s="110">
        <f t="shared" si="73"/>
        <v>0</v>
      </c>
      <c r="S283" s="110">
        <f t="shared" si="74"/>
        <v>0</v>
      </c>
      <c r="T283" s="113">
        <f t="shared" si="75"/>
        <v>0</v>
      </c>
      <c r="U283" s="113">
        <f t="shared" si="76"/>
        <v>0</v>
      </c>
      <c r="V283" s="26" t="e">
        <f t="shared" si="77"/>
        <v>#DIV/0!</v>
      </c>
    </row>
    <row r="284" spans="3:22" s="20" customFormat="1" ht="42.75" customHeight="1">
      <c r="C284" s="27"/>
      <c r="D284" s="27"/>
      <c r="E284" s="27"/>
      <c r="F284" s="33" t="s">
        <v>23</v>
      </c>
      <c r="G284" s="110">
        <v>14900</v>
      </c>
      <c r="H284" s="110">
        <v>14900</v>
      </c>
      <c r="I284" s="110">
        <v>459.2</v>
      </c>
      <c r="J284" s="25">
        <f t="shared" si="85"/>
        <v>3.0818791946308726</v>
      </c>
      <c r="K284" s="6"/>
      <c r="L284" s="111"/>
      <c r="M284" s="111"/>
      <c r="N284" s="111"/>
      <c r="O284" s="124"/>
      <c r="P284" s="25"/>
      <c r="Q284" s="6"/>
      <c r="R284" s="110">
        <f t="shared" si="73"/>
        <v>14900</v>
      </c>
      <c r="S284" s="110">
        <f t="shared" si="74"/>
        <v>14900</v>
      </c>
      <c r="T284" s="113">
        <f t="shared" si="75"/>
        <v>459.2</v>
      </c>
      <c r="U284" s="113">
        <f t="shared" si="76"/>
        <v>0</v>
      </c>
      <c r="V284" s="26">
        <f t="shared" si="77"/>
        <v>3.0818791946308726</v>
      </c>
    </row>
    <row r="285" spans="3:22" s="20" customFormat="1" ht="46.5">
      <c r="C285" s="27"/>
      <c r="D285" s="27"/>
      <c r="E285" s="27"/>
      <c r="F285" s="33" t="s">
        <v>333</v>
      </c>
      <c r="G285" s="110">
        <v>3000</v>
      </c>
      <c r="H285" s="110">
        <v>3000</v>
      </c>
      <c r="I285" s="111"/>
      <c r="J285" s="25">
        <f t="shared" si="85"/>
        <v>0</v>
      </c>
      <c r="K285" s="6"/>
      <c r="L285" s="111"/>
      <c r="M285" s="111"/>
      <c r="N285" s="111"/>
      <c r="O285" s="124"/>
      <c r="P285" s="25"/>
      <c r="Q285" s="6"/>
      <c r="R285" s="110">
        <f t="shared" si="73"/>
        <v>3000</v>
      </c>
      <c r="S285" s="110">
        <f t="shared" si="74"/>
        <v>3000</v>
      </c>
      <c r="T285" s="113">
        <f t="shared" si="75"/>
        <v>0</v>
      </c>
      <c r="U285" s="113">
        <f t="shared" si="76"/>
        <v>0</v>
      </c>
      <c r="V285" s="26">
        <f t="shared" si="77"/>
        <v>0</v>
      </c>
    </row>
    <row r="286" spans="3:22" s="17" customFormat="1" ht="48" customHeight="1" hidden="1">
      <c r="C286" s="23"/>
      <c r="D286" s="23"/>
      <c r="E286" s="23"/>
      <c r="F286" s="33" t="s">
        <v>448</v>
      </c>
      <c r="G286" s="110"/>
      <c r="H286" s="110"/>
      <c r="I286" s="110"/>
      <c r="J286" s="25" t="e">
        <f t="shared" si="85"/>
        <v>#DIV/0!</v>
      </c>
      <c r="K286" s="1"/>
      <c r="L286" s="110"/>
      <c r="M286" s="110"/>
      <c r="N286" s="110"/>
      <c r="O286" s="124"/>
      <c r="P286" s="25" t="e">
        <f t="shared" si="83"/>
        <v>#DIV/0!</v>
      </c>
      <c r="Q286" s="6"/>
      <c r="R286" s="110">
        <f t="shared" si="73"/>
        <v>0</v>
      </c>
      <c r="S286" s="110">
        <f t="shared" si="74"/>
        <v>0</v>
      </c>
      <c r="T286" s="113">
        <f t="shared" si="75"/>
        <v>0</v>
      </c>
      <c r="U286" s="113">
        <f t="shared" si="76"/>
        <v>0</v>
      </c>
      <c r="V286" s="26" t="e">
        <f t="shared" si="77"/>
        <v>#DIV/0!</v>
      </c>
    </row>
    <row r="287" spans="1:22" s="17" customFormat="1" ht="45.75" customHeight="1">
      <c r="A287" s="29"/>
      <c r="C287" s="23" t="s">
        <v>322</v>
      </c>
      <c r="D287" s="23" t="s">
        <v>258</v>
      </c>
      <c r="E287" s="23" t="s">
        <v>58</v>
      </c>
      <c r="F287" s="24" t="s">
        <v>257</v>
      </c>
      <c r="G287" s="110">
        <f>SUM(G288:G289)</f>
        <v>3357800</v>
      </c>
      <c r="H287" s="110">
        <f>SUM(H288:H289)</f>
        <v>1596800</v>
      </c>
      <c r="I287" s="110">
        <f>SUM(I288:I289)</f>
        <v>279616.96</v>
      </c>
      <c r="J287" s="25">
        <f t="shared" si="85"/>
        <v>8.327385788313778</v>
      </c>
      <c r="K287" s="1">
        <f>SUM(K288:K289)</f>
        <v>0</v>
      </c>
      <c r="L287" s="110">
        <f>L288</f>
        <v>5000000</v>
      </c>
      <c r="M287" s="110">
        <f>M288</f>
        <v>2850000</v>
      </c>
      <c r="N287" s="110">
        <f>N288</f>
        <v>0</v>
      </c>
      <c r="O287" s="124">
        <f>O288</f>
        <v>0</v>
      </c>
      <c r="P287" s="25">
        <f t="shared" si="83"/>
        <v>0</v>
      </c>
      <c r="Q287" s="1">
        <f>SUM(Q288:Q289)</f>
        <v>0</v>
      </c>
      <c r="R287" s="110">
        <f t="shared" si="73"/>
        <v>8357800</v>
      </c>
      <c r="S287" s="110">
        <f t="shared" si="74"/>
        <v>4446800</v>
      </c>
      <c r="T287" s="113">
        <f t="shared" si="75"/>
        <v>279616.96</v>
      </c>
      <c r="U287" s="113">
        <f t="shared" si="76"/>
        <v>0</v>
      </c>
      <c r="V287" s="26">
        <f t="shared" si="77"/>
        <v>3.3455808944937666</v>
      </c>
    </row>
    <row r="288" spans="1:22" s="20" customFormat="1" ht="45.75" customHeight="1">
      <c r="A288" s="30"/>
      <c r="C288" s="27"/>
      <c r="D288" s="27"/>
      <c r="E288" s="27"/>
      <c r="F288" s="31" t="s">
        <v>350</v>
      </c>
      <c r="G288" s="110">
        <v>3357800</v>
      </c>
      <c r="H288" s="110">
        <v>1596800</v>
      </c>
      <c r="I288" s="110">
        <v>279616.96</v>
      </c>
      <c r="J288" s="25">
        <f t="shared" si="85"/>
        <v>8.327385788313778</v>
      </c>
      <c r="K288" s="6"/>
      <c r="L288" s="110">
        <v>5000000</v>
      </c>
      <c r="M288" s="110">
        <v>2850000</v>
      </c>
      <c r="N288" s="110"/>
      <c r="O288" s="124"/>
      <c r="P288" s="25">
        <f t="shared" si="83"/>
        <v>0</v>
      </c>
      <c r="Q288" s="6"/>
      <c r="R288" s="110">
        <f t="shared" si="73"/>
        <v>8357800</v>
      </c>
      <c r="S288" s="110">
        <f t="shared" si="74"/>
        <v>4446800</v>
      </c>
      <c r="T288" s="113">
        <f t="shared" si="75"/>
        <v>279616.96</v>
      </c>
      <c r="U288" s="113">
        <f t="shared" si="76"/>
        <v>0</v>
      </c>
      <c r="V288" s="26">
        <f t="shared" si="77"/>
        <v>3.3455808944937666</v>
      </c>
    </row>
    <row r="289" spans="1:22" s="20" customFormat="1" ht="39" customHeight="1" hidden="1">
      <c r="A289" s="30"/>
      <c r="C289" s="27" t="s">
        <v>420</v>
      </c>
      <c r="D289" s="27" t="s">
        <v>421</v>
      </c>
      <c r="E289" s="27" t="s">
        <v>58</v>
      </c>
      <c r="F289" s="31" t="s">
        <v>442</v>
      </c>
      <c r="G289" s="111"/>
      <c r="H289" s="111"/>
      <c r="I289" s="111"/>
      <c r="J289" s="25"/>
      <c r="K289" s="6"/>
      <c r="L289" s="111"/>
      <c r="M289" s="111"/>
      <c r="N289" s="111"/>
      <c r="O289" s="125"/>
      <c r="P289" s="25" t="e">
        <f t="shared" si="83"/>
        <v>#DIV/0!</v>
      </c>
      <c r="Q289" s="6"/>
      <c r="R289" s="110">
        <f t="shared" si="73"/>
        <v>0</v>
      </c>
      <c r="S289" s="110">
        <f t="shared" si="74"/>
        <v>0</v>
      </c>
      <c r="T289" s="113">
        <f t="shared" si="75"/>
        <v>0</v>
      </c>
      <c r="U289" s="113">
        <f t="shared" si="76"/>
        <v>0</v>
      </c>
      <c r="V289" s="26" t="e">
        <f t="shared" si="77"/>
        <v>#DIV/0!</v>
      </c>
    </row>
    <row r="290" spans="3:22" s="17" customFormat="1" ht="101.25" customHeight="1" hidden="1">
      <c r="C290" s="23" t="s">
        <v>360</v>
      </c>
      <c r="D290" s="23" t="s">
        <v>252</v>
      </c>
      <c r="E290" s="23" t="s">
        <v>31</v>
      </c>
      <c r="F290" s="41" t="s">
        <v>253</v>
      </c>
      <c r="G290" s="110">
        <f t="shared" si="68"/>
        <v>0</v>
      </c>
      <c r="H290" s="110">
        <f>H291+H292</f>
        <v>0</v>
      </c>
      <c r="I290" s="110">
        <f>I291+I292</f>
        <v>0</v>
      </c>
      <c r="J290" s="25"/>
      <c r="K290" s="1">
        <f>K291+K292</f>
        <v>0</v>
      </c>
      <c r="L290" s="110">
        <f>L291</f>
        <v>0</v>
      </c>
      <c r="M290" s="110">
        <f>M291</f>
        <v>0</v>
      </c>
      <c r="N290" s="110">
        <f>N291</f>
        <v>0</v>
      </c>
      <c r="O290" s="124">
        <f>O291</f>
        <v>0</v>
      </c>
      <c r="P290" s="25" t="e">
        <f t="shared" si="83"/>
        <v>#DIV/0!</v>
      </c>
      <c r="Q290" s="1">
        <f>Q291+Q292</f>
        <v>0</v>
      </c>
      <c r="R290" s="110">
        <f t="shared" si="73"/>
        <v>0</v>
      </c>
      <c r="S290" s="110">
        <f t="shared" si="74"/>
        <v>0</v>
      </c>
      <c r="T290" s="113">
        <f t="shared" si="75"/>
        <v>0</v>
      </c>
      <c r="U290" s="113">
        <f t="shared" si="76"/>
        <v>0</v>
      </c>
      <c r="V290" s="26" t="e">
        <f t="shared" si="77"/>
        <v>#DIV/0!</v>
      </c>
    </row>
    <row r="291" spans="3:22" s="20" customFormat="1" ht="54" customHeight="1" hidden="1">
      <c r="C291" s="27"/>
      <c r="D291" s="27"/>
      <c r="E291" s="27"/>
      <c r="F291" s="28" t="s">
        <v>77</v>
      </c>
      <c r="G291" s="111"/>
      <c r="H291" s="111"/>
      <c r="I291" s="111"/>
      <c r="J291" s="25"/>
      <c r="K291" s="6"/>
      <c r="L291" s="111"/>
      <c r="M291" s="111"/>
      <c r="N291" s="111"/>
      <c r="O291" s="125"/>
      <c r="P291" s="25" t="e">
        <f t="shared" si="83"/>
        <v>#DIV/0!</v>
      </c>
      <c r="Q291" s="6"/>
      <c r="R291" s="110">
        <f t="shared" si="73"/>
        <v>0</v>
      </c>
      <c r="S291" s="110">
        <f t="shared" si="74"/>
        <v>0</v>
      </c>
      <c r="T291" s="113">
        <f t="shared" si="75"/>
        <v>0</v>
      </c>
      <c r="U291" s="113">
        <f t="shared" si="76"/>
        <v>0</v>
      </c>
      <c r="V291" s="26" t="e">
        <f t="shared" si="77"/>
        <v>#DIV/0!</v>
      </c>
    </row>
    <row r="292" spans="3:22" s="17" customFormat="1" ht="43.5" customHeight="1" hidden="1">
      <c r="C292" s="27"/>
      <c r="D292" s="27"/>
      <c r="E292" s="27"/>
      <c r="F292" s="28" t="s">
        <v>81</v>
      </c>
      <c r="G292" s="111">
        <f t="shared" si="68"/>
        <v>0</v>
      </c>
      <c r="H292" s="110"/>
      <c r="I292" s="110"/>
      <c r="J292" s="25" t="e">
        <f aca="true" t="shared" si="86" ref="J292:J297">I292/G292*100</f>
        <v>#DIV/0!</v>
      </c>
      <c r="K292" s="1"/>
      <c r="L292" s="111">
        <f>N292+Q292</f>
        <v>0</v>
      </c>
      <c r="M292" s="111"/>
      <c r="N292" s="110"/>
      <c r="O292" s="124"/>
      <c r="P292" s="25" t="e">
        <f t="shared" si="83"/>
        <v>#DIV/0!</v>
      </c>
      <c r="Q292" s="1"/>
      <c r="R292" s="110">
        <f t="shared" si="73"/>
        <v>0</v>
      </c>
      <c r="S292" s="110">
        <f t="shared" si="74"/>
        <v>0</v>
      </c>
      <c r="T292" s="113">
        <f t="shared" si="75"/>
        <v>0</v>
      </c>
      <c r="U292" s="113">
        <f t="shared" si="76"/>
        <v>0</v>
      </c>
      <c r="V292" s="26" t="e">
        <f t="shared" si="77"/>
        <v>#DIV/0!</v>
      </c>
    </row>
    <row r="293" spans="3:22" s="17" customFormat="1" ht="31.5" customHeight="1">
      <c r="C293" s="23" t="s">
        <v>271</v>
      </c>
      <c r="D293" s="23" t="s">
        <v>259</v>
      </c>
      <c r="E293" s="23" t="s">
        <v>31</v>
      </c>
      <c r="F293" s="41" t="s">
        <v>260</v>
      </c>
      <c r="G293" s="110">
        <f>G294</f>
        <v>5093000</v>
      </c>
      <c r="H293" s="110">
        <f>H294</f>
        <v>4719243</v>
      </c>
      <c r="I293" s="110">
        <f aca="true" t="shared" si="87" ref="I293:Q293">I294</f>
        <v>3705467.15</v>
      </c>
      <c r="J293" s="25">
        <f t="shared" si="86"/>
        <v>72.75607991360691</v>
      </c>
      <c r="K293" s="1">
        <f t="shared" si="87"/>
        <v>0</v>
      </c>
      <c r="L293" s="110">
        <f>N293+Q293</f>
        <v>0</v>
      </c>
      <c r="M293" s="110">
        <f t="shared" si="87"/>
        <v>0</v>
      </c>
      <c r="N293" s="110">
        <f t="shared" si="87"/>
        <v>0</v>
      </c>
      <c r="O293" s="124">
        <f t="shared" si="87"/>
        <v>0</v>
      </c>
      <c r="P293" s="25"/>
      <c r="Q293" s="1">
        <f t="shared" si="87"/>
        <v>0</v>
      </c>
      <c r="R293" s="110">
        <f t="shared" si="73"/>
        <v>5093000</v>
      </c>
      <c r="S293" s="110">
        <f t="shared" si="74"/>
        <v>4719243</v>
      </c>
      <c r="T293" s="113">
        <f t="shared" si="75"/>
        <v>3705467.15</v>
      </c>
      <c r="U293" s="113">
        <f t="shared" si="76"/>
        <v>0</v>
      </c>
      <c r="V293" s="26">
        <f t="shared" si="77"/>
        <v>72.75607991360691</v>
      </c>
    </row>
    <row r="294" spans="3:22" s="20" customFormat="1" ht="54" customHeight="1">
      <c r="C294" s="27"/>
      <c r="D294" s="27"/>
      <c r="E294" s="27"/>
      <c r="F294" s="28" t="s">
        <v>77</v>
      </c>
      <c r="G294" s="110">
        <v>5093000</v>
      </c>
      <c r="H294" s="110">
        <v>4719243</v>
      </c>
      <c r="I294" s="110">
        <v>3705467.15</v>
      </c>
      <c r="J294" s="25">
        <f t="shared" si="86"/>
        <v>72.75607991360691</v>
      </c>
      <c r="K294" s="6"/>
      <c r="L294" s="111"/>
      <c r="M294" s="111"/>
      <c r="N294" s="111"/>
      <c r="O294" s="125"/>
      <c r="P294" s="25"/>
      <c r="Q294" s="6"/>
      <c r="R294" s="110">
        <f t="shared" si="73"/>
        <v>5093000</v>
      </c>
      <c r="S294" s="110">
        <f t="shared" si="74"/>
        <v>4719243</v>
      </c>
      <c r="T294" s="113">
        <f t="shared" si="75"/>
        <v>3705467.15</v>
      </c>
      <c r="U294" s="113">
        <f t="shared" si="76"/>
        <v>0</v>
      </c>
      <c r="V294" s="26">
        <f t="shared" si="77"/>
        <v>72.75607991360691</v>
      </c>
    </row>
    <row r="295" spans="3:22" s="17" customFormat="1" ht="33" customHeight="1" hidden="1">
      <c r="C295" s="23" t="s">
        <v>449</v>
      </c>
      <c r="D295" s="23" t="s">
        <v>206</v>
      </c>
      <c r="E295" s="23"/>
      <c r="F295" s="32" t="s">
        <v>308</v>
      </c>
      <c r="G295" s="110">
        <f>G296</f>
        <v>0</v>
      </c>
      <c r="H295" s="111">
        <f>H296</f>
        <v>0</v>
      </c>
      <c r="I295" s="110">
        <f>I296</f>
        <v>0</v>
      </c>
      <c r="J295" s="25"/>
      <c r="K295" s="1">
        <f>SUM(K296)</f>
        <v>0</v>
      </c>
      <c r="L295" s="110">
        <f>SUM(L296)</f>
        <v>0</v>
      </c>
      <c r="M295" s="110">
        <f>SUM(M296)</f>
        <v>0</v>
      </c>
      <c r="N295" s="110">
        <f>SUM(N296)</f>
        <v>0</v>
      </c>
      <c r="O295" s="124">
        <f>SUM(O296)</f>
        <v>0</v>
      </c>
      <c r="P295" s="25" t="e">
        <f t="shared" si="83"/>
        <v>#DIV/0!</v>
      </c>
      <c r="Q295" s="1">
        <f>SUM(Q296)</f>
        <v>0</v>
      </c>
      <c r="R295" s="110">
        <f t="shared" si="73"/>
        <v>0</v>
      </c>
      <c r="S295" s="110">
        <f t="shared" si="74"/>
        <v>0</v>
      </c>
      <c r="T295" s="113">
        <f t="shared" si="75"/>
        <v>0</v>
      </c>
      <c r="U295" s="113">
        <f t="shared" si="76"/>
        <v>0</v>
      </c>
      <c r="V295" s="26" t="e">
        <f t="shared" si="77"/>
        <v>#DIV/0!</v>
      </c>
    </row>
    <row r="296" spans="3:22" s="20" customFormat="1" ht="54" customHeight="1" hidden="1">
      <c r="C296" s="27"/>
      <c r="D296" s="27"/>
      <c r="E296" s="27"/>
      <c r="F296" s="33" t="s">
        <v>450</v>
      </c>
      <c r="G296" s="110"/>
      <c r="H296" s="111"/>
      <c r="I296" s="110"/>
      <c r="J296" s="25"/>
      <c r="K296" s="6"/>
      <c r="L296" s="111"/>
      <c r="M296" s="111"/>
      <c r="N296" s="111"/>
      <c r="O296" s="125"/>
      <c r="P296" s="25" t="e">
        <f t="shared" si="83"/>
        <v>#DIV/0!</v>
      </c>
      <c r="Q296" s="6"/>
      <c r="R296" s="110">
        <f t="shared" si="73"/>
        <v>0</v>
      </c>
      <c r="S296" s="110">
        <f t="shared" si="74"/>
        <v>0</v>
      </c>
      <c r="T296" s="113">
        <f t="shared" si="75"/>
        <v>0</v>
      </c>
      <c r="U296" s="113">
        <f t="shared" si="76"/>
        <v>0</v>
      </c>
      <c r="V296" s="26" t="e">
        <f t="shared" si="77"/>
        <v>#DIV/0!</v>
      </c>
    </row>
    <row r="297" spans="3:22" s="29" customFormat="1" ht="35.25" customHeight="1">
      <c r="C297" s="18"/>
      <c r="D297" s="18"/>
      <c r="E297" s="18"/>
      <c r="F297" s="19" t="s">
        <v>5</v>
      </c>
      <c r="G297" s="115">
        <f>G223+G226+G264+G269+G272+G276+G278+G274+G281+G287+G290+G293+G295</f>
        <v>39019847</v>
      </c>
      <c r="H297" s="115">
        <f>H223+H226+H264+H269+H272+H276+H278+H274+H281+H287+H290+H293+H295</f>
        <v>13650820</v>
      </c>
      <c r="I297" s="115">
        <f>I223+I226+I264+I269+I272+I276+I278+I274+I281+I287+I290+I293+I295</f>
        <v>9784963.38</v>
      </c>
      <c r="J297" s="39">
        <f t="shared" si="86"/>
        <v>25.076888128238945</v>
      </c>
      <c r="K297" s="7" t="e">
        <f>K223+#REF!+K226+K264+K269+K272+K276+K278+K274+K281+K287+K290+K293+K295+#REF!</f>
        <v>#REF!</v>
      </c>
      <c r="L297" s="115">
        <f>L223+L226+L264+L269+L272+L276+L278+L274+L281+L287+L290+L293+L295</f>
        <v>46359100</v>
      </c>
      <c r="M297" s="115">
        <f>M223+M226+M264+M269+M272+M276+M278+M274+M281+M287+M290+M293+M295</f>
        <v>17636900</v>
      </c>
      <c r="N297" s="115">
        <f>N223+N226+N264+N269+N272+N276+N278+N274+N281+N287+N290+N293+N295</f>
        <v>2685230.8099999996</v>
      </c>
      <c r="O297" s="115">
        <f>O223+O226+O264+O269+O272+O276+O278+O274+O281+O287+O290+O293+O295</f>
        <v>2685230.8099999996</v>
      </c>
      <c r="P297" s="39">
        <f t="shared" si="83"/>
        <v>5.79224102711226</v>
      </c>
      <c r="Q297" s="7" t="e">
        <f>Q223+#REF!+Q226+Q264+Q269+Q272+Q276+Q278+Q274+Q281+Q287+Q290+Q293+Q295+#REF!</f>
        <v>#REF!</v>
      </c>
      <c r="R297" s="110">
        <f t="shared" si="73"/>
        <v>85378947</v>
      </c>
      <c r="S297" s="110">
        <f t="shared" si="74"/>
        <v>31287720</v>
      </c>
      <c r="T297" s="113">
        <f t="shared" si="75"/>
        <v>12470194.190000001</v>
      </c>
      <c r="U297" s="113">
        <f t="shared" si="76"/>
        <v>2685230.8099999996</v>
      </c>
      <c r="V297" s="26">
        <f t="shared" si="77"/>
        <v>14.60570155544317</v>
      </c>
    </row>
    <row r="298" spans="3:22" s="29" customFormat="1" ht="45.75" customHeight="1">
      <c r="C298" s="64">
        <v>2800000</v>
      </c>
      <c r="D298" s="18"/>
      <c r="E298" s="18"/>
      <c r="F298" s="38" t="s">
        <v>378</v>
      </c>
      <c r="G298" s="115"/>
      <c r="H298" s="115"/>
      <c r="I298" s="115"/>
      <c r="J298" s="7"/>
      <c r="K298" s="7"/>
      <c r="L298" s="115"/>
      <c r="M298" s="115"/>
      <c r="N298" s="115"/>
      <c r="O298" s="130"/>
      <c r="P298" s="25"/>
      <c r="Q298" s="7"/>
      <c r="R298" s="110"/>
      <c r="S298" s="110"/>
      <c r="T298" s="113"/>
      <c r="U298" s="113"/>
      <c r="V298" s="26"/>
    </row>
    <row r="299" spans="3:22" s="30" customFormat="1" ht="48.75" customHeight="1">
      <c r="C299" s="65">
        <v>2810000</v>
      </c>
      <c r="D299" s="21"/>
      <c r="E299" s="21"/>
      <c r="F299" s="61" t="s">
        <v>378</v>
      </c>
      <c r="G299" s="120"/>
      <c r="H299" s="120"/>
      <c r="I299" s="120"/>
      <c r="J299" s="9"/>
      <c r="K299" s="9"/>
      <c r="L299" s="120"/>
      <c r="M299" s="120"/>
      <c r="N299" s="120"/>
      <c r="O299" s="134"/>
      <c r="P299" s="25"/>
      <c r="Q299" s="9"/>
      <c r="R299" s="110"/>
      <c r="S299" s="110"/>
      <c r="T299" s="113"/>
      <c r="U299" s="113"/>
      <c r="V299" s="26"/>
    </row>
    <row r="300" spans="1:22" s="17" customFormat="1" ht="40.5" customHeight="1">
      <c r="A300" s="17">
        <v>8</v>
      </c>
      <c r="B300" s="17">
        <v>57</v>
      </c>
      <c r="C300" s="23" t="s">
        <v>103</v>
      </c>
      <c r="D300" s="23" t="s">
        <v>33</v>
      </c>
      <c r="E300" s="23" t="s">
        <v>30</v>
      </c>
      <c r="F300" s="41" t="s">
        <v>99</v>
      </c>
      <c r="G300" s="110">
        <f>G304+G305</f>
        <v>2120100</v>
      </c>
      <c r="H300" s="110">
        <f>H304+H305</f>
        <v>626537</v>
      </c>
      <c r="I300" s="110">
        <f>I304+I305</f>
        <v>544769.01</v>
      </c>
      <c r="J300" s="25">
        <f aca="true" t="shared" si="88" ref="J300:J305">I300/G300*100</f>
        <v>25.69543936606764</v>
      </c>
      <c r="K300" s="1"/>
      <c r="L300" s="110">
        <f>L304+L305</f>
        <v>0</v>
      </c>
      <c r="M300" s="110">
        <f>M304+M305</f>
        <v>0</v>
      </c>
      <c r="N300" s="110">
        <f>N304+N305</f>
        <v>0</v>
      </c>
      <c r="O300" s="110">
        <f>O304+O305</f>
        <v>0</v>
      </c>
      <c r="P300" s="25"/>
      <c r="Q300" s="1"/>
      <c r="R300" s="110">
        <f t="shared" si="73"/>
        <v>2120100</v>
      </c>
      <c r="S300" s="110">
        <f t="shared" si="74"/>
        <v>626537</v>
      </c>
      <c r="T300" s="113">
        <f t="shared" si="75"/>
        <v>544769.01</v>
      </c>
      <c r="U300" s="113">
        <f t="shared" si="76"/>
        <v>0</v>
      </c>
      <c r="V300" s="26">
        <f t="shared" si="77"/>
        <v>25.69543936606764</v>
      </c>
    </row>
    <row r="301" spans="3:22" s="29" customFormat="1" ht="33.75" customHeight="1" hidden="1">
      <c r="C301" s="18" t="s">
        <v>211</v>
      </c>
      <c r="D301" s="18" t="s">
        <v>207</v>
      </c>
      <c r="E301" s="18"/>
      <c r="F301" s="19" t="s">
        <v>208</v>
      </c>
      <c r="G301" s="115">
        <f>H301+K301</f>
        <v>0</v>
      </c>
      <c r="H301" s="115">
        <f aca="true" t="shared" si="89" ref="H301:K302">H302</f>
        <v>0</v>
      </c>
      <c r="I301" s="115">
        <f t="shared" si="89"/>
        <v>0</v>
      </c>
      <c r="J301" s="25" t="e">
        <f t="shared" si="88"/>
        <v>#DIV/0!</v>
      </c>
      <c r="K301" s="7">
        <f t="shared" si="89"/>
        <v>0</v>
      </c>
      <c r="L301" s="115">
        <f aca="true" t="shared" si="90" ref="L301:L306">N301+Q301</f>
        <v>0</v>
      </c>
      <c r="M301" s="115">
        <f aca="true" t="shared" si="91" ref="M301:Q302">M302</f>
        <v>0</v>
      </c>
      <c r="N301" s="115">
        <f t="shared" si="91"/>
        <v>0</v>
      </c>
      <c r="O301" s="130">
        <f t="shared" si="91"/>
        <v>0</v>
      </c>
      <c r="P301" s="25"/>
      <c r="Q301" s="7">
        <f t="shared" si="91"/>
        <v>0</v>
      </c>
      <c r="R301" s="110">
        <f aca="true" t="shared" si="92" ref="R301:T305">G301+L301</f>
        <v>0</v>
      </c>
      <c r="S301" s="110">
        <f t="shared" si="92"/>
        <v>0</v>
      </c>
      <c r="T301" s="113">
        <f t="shared" si="92"/>
        <v>0</v>
      </c>
      <c r="U301" s="113">
        <f>O301</f>
        <v>0</v>
      </c>
      <c r="V301" s="26" t="e">
        <f>T301/R301*100</f>
        <v>#DIV/0!</v>
      </c>
    </row>
    <row r="302" spans="3:22" s="17" customFormat="1" ht="35.25" customHeight="1" hidden="1">
      <c r="C302" s="23" t="s">
        <v>213</v>
      </c>
      <c r="D302" s="23" t="s">
        <v>55</v>
      </c>
      <c r="E302" s="23" t="s">
        <v>56</v>
      </c>
      <c r="F302" s="41" t="s">
        <v>192</v>
      </c>
      <c r="G302" s="110">
        <f>H302+K302</f>
        <v>0</v>
      </c>
      <c r="H302" s="110">
        <f t="shared" si="89"/>
        <v>0</v>
      </c>
      <c r="I302" s="110">
        <f t="shared" si="89"/>
        <v>0</v>
      </c>
      <c r="J302" s="25" t="e">
        <f t="shared" si="88"/>
        <v>#DIV/0!</v>
      </c>
      <c r="K302" s="1">
        <f t="shared" si="89"/>
        <v>0</v>
      </c>
      <c r="L302" s="110">
        <f t="shared" si="90"/>
        <v>0</v>
      </c>
      <c r="M302" s="110"/>
      <c r="N302" s="110">
        <f t="shared" si="91"/>
        <v>0</v>
      </c>
      <c r="O302" s="124">
        <f t="shared" si="91"/>
        <v>0</v>
      </c>
      <c r="P302" s="25"/>
      <c r="Q302" s="1">
        <f t="shared" si="91"/>
        <v>0</v>
      </c>
      <c r="R302" s="110">
        <f t="shared" si="92"/>
        <v>0</v>
      </c>
      <c r="S302" s="110">
        <f t="shared" si="92"/>
        <v>0</v>
      </c>
      <c r="T302" s="113">
        <f t="shared" si="92"/>
        <v>0</v>
      </c>
      <c r="U302" s="113">
        <f>O302</f>
        <v>0</v>
      </c>
      <c r="V302" s="26" t="e">
        <f>T302/R302*100</f>
        <v>#DIV/0!</v>
      </c>
    </row>
    <row r="303" spans="3:22" s="20" customFormat="1" ht="68.25" customHeight="1" hidden="1">
      <c r="C303" s="27"/>
      <c r="D303" s="27"/>
      <c r="E303" s="27"/>
      <c r="F303" s="28" t="s">
        <v>212</v>
      </c>
      <c r="G303" s="111">
        <f>H303+K303</f>
        <v>0</v>
      </c>
      <c r="H303" s="111"/>
      <c r="I303" s="119"/>
      <c r="J303" s="25" t="e">
        <f t="shared" si="88"/>
        <v>#DIV/0!</v>
      </c>
      <c r="K303" s="36"/>
      <c r="L303" s="111">
        <f t="shared" si="90"/>
        <v>0</v>
      </c>
      <c r="M303" s="111"/>
      <c r="N303" s="119"/>
      <c r="O303" s="129"/>
      <c r="P303" s="25"/>
      <c r="Q303" s="36"/>
      <c r="R303" s="110">
        <f t="shared" si="92"/>
        <v>0</v>
      </c>
      <c r="S303" s="110">
        <f t="shared" si="92"/>
        <v>0</v>
      </c>
      <c r="T303" s="113">
        <f t="shared" si="92"/>
        <v>0</v>
      </c>
      <c r="U303" s="113">
        <f>O303</f>
        <v>0</v>
      </c>
      <c r="V303" s="26" t="e">
        <f>T303/R303*100</f>
        <v>#DIV/0!</v>
      </c>
    </row>
    <row r="304" spans="3:22" s="20" customFormat="1" ht="15">
      <c r="C304" s="27"/>
      <c r="D304" s="27"/>
      <c r="E304" s="27"/>
      <c r="F304" s="62" t="s">
        <v>486</v>
      </c>
      <c r="G304" s="110">
        <v>2115100</v>
      </c>
      <c r="H304" s="110">
        <v>621537</v>
      </c>
      <c r="I304" s="114">
        <v>544769.01</v>
      </c>
      <c r="J304" s="25">
        <f t="shared" si="88"/>
        <v>25.75618221360692</v>
      </c>
      <c r="K304" s="36"/>
      <c r="L304" s="111"/>
      <c r="M304" s="111"/>
      <c r="N304" s="119"/>
      <c r="O304" s="129"/>
      <c r="P304" s="25"/>
      <c r="Q304" s="36"/>
      <c r="R304" s="110">
        <f t="shared" si="92"/>
        <v>2115100</v>
      </c>
      <c r="S304" s="110">
        <f t="shared" si="92"/>
        <v>621537</v>
      </c>
      <c r="T304" s="113">
        <f t="shared" si="92"/>
        <v>544769.01</v>
      </c>
      <c r="U304" s="113">
        <f>O304</f>
        <v>0</v>
      </c>
      <c r="V304" s="26">
        <f>T304/R304*100</f>
        <v>25.75618221360692</v>
      </c>
    </row>
    <row r="305" spans="3:22" s="20" customFormat="1" ht="46.5">
      <c r="C305" s="27"/>
      <c r="D305" s="27"/>
      <c r="E305" s="27"/>
      <c r="F305" s="96" t="s">
        <v>463</v>
      </c>
      <c r="G305" s="110">
        <v>5000</v>
      </c>
      <c r="H305" s="110">
        <v>5000</v>
      </c>
      <c r="I305" s="114"/>
      <c r="J305" s="25">
        <f t="shared" si="88"/>
        <v>0</v>
      </c>
      <c r="K305" s="36"/>
      <c r="L305" s="111"/>
      <c r="M305" s="111"/>
      <c r="N305" s="119"/>
      <c r="O305" s="129"/>
      <c r="P305" s="25"/>
      <c r="Q305" s="36"/>
      <c r="R305" s="110">
        <f t="shared" si="92"/>
        <v>5000</v>
      </c>
      <c r="S305" s="110">
        <f t="shared" si="92"/>
        <v>5000</v>
      </c>
      <c r="T305" s="113">
        <f t="shared" si="92"/>
        <v>0</v>
      </c>
      <c r="U305" s="113">
        <f>O305</f>
        <v>0</v>
      </c>
      <c r="V305" s="26">
        <f>T305/R305*100</f>
        <v>0</v>
      </c>
    </row>
    <row r="306" spans="3:22" s="17" customFormat="1" ht="38.25" customHeight="1">
      <c r="C306" s="23" t="s">
        <v>214</v>
      </c>
      <c r="D306" s="23" t="s">
        <v>215</v>
      </c>
      <c r="E306" s="23" t="s">
        <v>75</v>
      </c>
      <c r="F306" s="41" t="s">
        <v>216</v>
      </c>
      <c r="G306" s="110">
        <f>G307</f>
        <v>10000</v>
      </c>
      <c r="H306" s="110">
        <f>H307</f>
        <v>10000</v>
      </c>
      <c r="I306" s="110">
        <f>I307</f>
        <v>0</v>
      </c>
      <c r="J306" s="25">
        <f aca="true" t="shared" si="93" ref="J306:J314">I306/G306*100</f>
        <v>0</v>
      </c>
      <c r="K306" s="1">
        <f>K307</f>
        <v>0</v>
      </c>
      <c r="L306" s="110">
        <f t="shared" si="90"/>
        <v>0</v>
      </c>
      <c r="M306" s="110">
        <f>M307</f>
        <v>0</v>
      </c>
      <c r="N306" s="110">
        <f>N307</f>
        <v>0</v>
      </c>
      <c r="O306" s="124">
        <f>O307</f>
        <v>0</v>
      </c>
      <c r="P306" s="25"/>
      <c r="Q306" s="1">
        <f>Q307</f>
        <v>0</v>
      </c>
      <c r="R306" s="110">
        <f t="shared" si="73"/>
        <v>10000</v>
      </c>
      <c r="S306" s="110">
        <f t="shared" si="74"/>
        <v>10000</v>
      </c>
      <c r="T306" s="113">
        <f t="shared" si="75"/>
        <v>0</v>
      </c>
      <c r="U306" s="113">
        <f t="shared" si="76"/>
        <v>0</v>
      </c>
      <c r="V306" s="26">
        <f t="shared" si="77"/>
        <v>0</v>
      </c>
    </row>
    <row r="307" spans="3:22" s="20" customFormat="1" ht="30.75">
      <c r="C307" s="27"/>
      <c r="D307" s="27"/>
      <c r="E307" s="27"/>
      <c r="F307" s="28" t="s">
        <v>217</v>
      </c>
      <c r="G307" s="110">
        <v>10000</v>
      </c>
      <c r="H307" s="110">
        <v>10000</v>
      </c>
      <c r="I307" s="114"/>
      <c r="J307" s="25">
        <f t="shared" si="93"/>
        <v>0</v>
      </c>
      <c r="K307" s="36"/>
      <c r="L307" s="111"/>
      <c r="M307" s="111"/>
      <c r="N307" s="119"/>
      <c r="O307" s="129"/>
      <c r="P307" s="25"/>
      <c r="Q307" s="36"/>
      <c r="R307" s="110">
        <f t="shared" si="73"/>
        <v>10000</v>
      </c>
      <c r="S307" s="110">
        <f t="shared" si="74"/>
        <v>10000</v>
      </c>
      <c r="T307" s="113">
        <f t="shared" si="75"/>
        <v>0</v>
      </c>
      <c r="U307" s="113">
        <f t="shared" si="76"/>
        <v>0</v>
      </c>
      <c r="V307" s="26">
        <f t="shared" si="77"/>
        <v>0</v>
      </c>
    </row>
    <row r="308" spans="3:22" s="17" customFormat="1" ht="47.25" customHeight="1" hidden="1">
      <c r="C308" s="23" t="s">
        <v>309</v>
      </c>
      <c r="D308" s="23" t="s">
        <v>256</v>
      </c>
      <c r="E308" s="23" t="s">
        <v>31</v>
      </c>
      <c r="F308" s="41" t="s">
        <v>205</v>
      </c>
      <c r="G308" s="110">
        <f>G309</f>
        <v>0</v>
      </c>
      <c r="H308" s="110">
        <f>H309</f>
        <v>36000</v>
      </c>
      <c r="I308" s="110">
        <f>I309</f>
        <v>0</v>
      </c>
      <c r="J308" s="25" t="e">
        <f t="shared" si="93"/>
        <v>#DIV/0!</v>
      </c>
      <c r="K308" s="1">
        <f>K309</f>
        <v>0</v>
      </c>
      <c r="L308" s="110">
        <f>L309</f>
        <v>0</v>
      </c>
      <c r="M308" s="110">
        <f>M309</f>
        <v>264000</v>
      </c>
      <c r="N308" s="110">
        <f>N309</f>
        <v>0</v>
      </c>
      <c r="O308" s="124">
        <f>O309</f>
        <v>0</v>
      </c>
      <c r="P308" s="25"/>
      <c r="Q308" s="1">
        <f>Q309</f>
        <v>0</v>
      </c>
      <c r="R308" s="110">
        <f t="shared" si="73"/>
        <v>0</v>
      </c>
      <c r="S308" s="110">
        <f t="shared" si="74"/>
        <v>300000</v>
      </c>
      <c r="T308" s="113">
        <f t="shared" si="75"/>
        <v>0</v>
      </c>
      <c r="U308" s="113">
        <f t="shared" si="76"/>
        <v>0</v>
      </c>
      <c r="V308" s="26" t="e">
        <f t="shared" si="77"/>
        <v>#DIV/0!</v>
      </c>
    </row>
    <row r="309" spans="3:22" s="20" customFormat="1" ht="30.75" hidden="1">
      <c r="C309" s="27"/>
      <c r="D309" s="27"/>
      <c r="E309" s="27"/>
      <c r="F309" s="28" t="s">
        <v>217</v>
      </c>
      <c r="G309" s="110">
        <v>0</v>
      </c>
      <c r="H309" s="110">
        <v>36000</v>
      </c>
      <c r="I309" s="119"/>
      <c r="J309" s="25" t="e">
        <f t="shared" si="93"/>
        <v>#DIV/0!</v>
      </c>
      <c r="K309" s="36"/>
      <c r="L309" s="110">
        <v>0</v>
      </c>
      <c r="M309" s="110">
        <v>264000</v>
      </c>
      <c r="N309" s="119">
        <v>0</v>
      </c>
      <c r="O309" s="129"/>
      <c r="P309" s="25"/>
      <c r="Q309" s="5"/>
      <c r="R309" s="110">
        <f t="shared" si="73"/>
        <v>0</v>
      </c>
      <c r="S309" s="110">
        <f t="shared" si="74"/>
        <v>300000</v>
      </c>
      <c r="T309" s="113">
        <f t="shared" si="75"/>
        <v>0</v>
      </c>
      <c r="U309" s="113">
        <f t="shared" si="76"/>
        <v>0</v>
      </c>
      <c r="V309" s="26" t="e">
        <f t="shared" si="77"/>
        <v>#DIV/0!</v>
      </c>
    </row>
    <row r="310" spans="3:22" s="17" customFormat="1" ht="30.75">
      <c r="C310" s="42" t="s">
        <v>309</v>
      </c>
      <c r="D310" s="143" t="s">
        <v>256</v>
      </c>
      <c r="E310" s="143" t="s">
        <v>31</v>
      </c>
      <c r="F310" s="141" t="s">
        <v>205</v>
      </c>
      <c r="G310" s="110">
        <f>G311</f>
        <v>36000</v>
      </c>
      <c r="H310" s="110">
        <f>H311</f>
        <v>0</v>
      </c>
      <c r="I310" s="110">
        <f>I311</f>
        <v>0</v>
      </c>
      <c r="J310" s="25"/>
      <c r="K310" s="1">
        <f>K311</f>
        <v>0</v>
      </c>
      <c r="L310" s="110">
        <f>L311</f>
        <v>264000</v>
      </c>
      <c r="M310" s="110">
        <f>M311</f>
        <v>0</v>
      </c>
      <c r="N310" s="110">
        <f>N311</f>
        <v>0</v>
      </c>
      <c r="O310" s="124">
        <f>O311</f>
        <v>0</v>
      </c>
      <c r="P310" s="25">
        <f aca="true" t="shared" si="94" ref="P310:P333">N310/L310*100</f>
        <v>0</v>
      </c>
      <c r="Q310" s="1">
        <f>Q311</f>
        <v>0</v>
      </c>
      <c r="R310" s="110">
        <f t="shared" si="73"/>
        <v>300000</v>
      </c>
      <c r="S310" s="110">
        <f t="shared" si="74"/>
        <v>0</v>
      </c>
      <c r="T310" s="113">
        <f t="shared" si="75"/>
        <v>0</v>
      </c>
      <c r="U310" s="113">
        <f t="shared" si="76"/>
        <v>0</v>
      </c>
      <c r="V310" s="26">
        <f t="shared" si="77"/>
        <v>0</v>
      </c>
    </row>
    <row r="311" spans="3:22" s="20" customFormat="1" ht="30.75">
      <c r="C311" s="27"/>
      <c r="D311" s="27"/>
      <c r="E311" s="27"/>
      <c r="F311" s="96" t="s">
        <v>217</v>
      </c>
      <c r="G311" s="110">
        <v>36000</v>
      </c>
      <c r="H311" s="111"/>
      <c r="I311" s="119"/>
      <c r="J311" s="25"/>
      <c r="K311" s="36"/>
      <c r="L311" s="111">
        <v>264000</v>
      </c>
      <c r="M311" s="111"/>
      <c r="N311" s="119"/>
      <c r="O311" s="129"/>
      <c r="P311" s="25">
        <f t="shared" si="94"/>
        <v>0</v>
      </c>
      <c r="Q311" s="36"/>
      <c r="R311" s="110">
        <f t="shared" si="73"/>
        <v>300000</v>
      </c>
      <c r="S311" s="110">
        <f t="shared" si="74"/>
        <v>0</v>
      </c>
      <c r="T311" s="113">
        <f t="shared" si="75"/>
        <v>0</v>
      </c>
      <c r="U311" s="113">
        <f t="shared" si="76"/>
        <v>0</v>
      </c>
      <c r="V311" s="26">
        <f t="shared" si="77"/>
        <v>0</v>
      </c>
    </row>
    <row r="312" spans="1:22" s="17" customFormat="1" ht="32.25" customHeight="1">
      <c r="A312" s="29"/>
      <c r="C312" s="23" t="s">
        <v>285</v>
      </c>
      <c r="D312" s="23" t="s">
        <v>286</v>
      </c>
      <c r="E312" s="23" t="s">
        <v>287</v>
      </c>
      <c r="F312" s="41" t="s">
        <v>308</v>
      </c>
      <c r="G312" s="110">
        <f>G313</f>
        <v>0</v>
      </c>
      <c r="H312" s="110">
        <f>H313</f>
        <v>0</v>
      </c>
      <c r="I312" s="110">
        <f>I313</f>
        <v>0</v>
      </c>
      <c r="J312" s="25"/>
      <c r="K312" s="1">
        <f aca="true" t="shared" si="95" ref="K312:Q312">K313</f>
        <v>0</v>
      </c>
      <c r="L312" s="110">
        <f t="shared" si="95"/>
        <v>360000</v>
      </c>
      <c r="M312" s="110">
        <f t="shared" si="95"/>
        <v>219000</v>
      </c>
      <c r="N312" s="110">
        <f t="shared" si="95"/>
        <v>0</v>
      </c>
      <c r="O312" s="124">
        <f t="shared" si="95"/>
        <v>0</v>
      </c>
      <c r="P312" s="25">
        <f t="shared" si="94"/>
        <v>0</v>
      </c>
      <c r="Q312" s="1">
        <f t="shared" si="95"/>
        <v>105750</v>
      </c>
      <c r="R312" s="110">
        <f t="shared" si="73"/>
        <v>360000</v>
      </c>
      <c r="S312" s="110">
        <f t="shared" si="74"/>
        <v>219000</v>
      </c>
      <c r="T312" s="113">
        <f t="shared" si="75"/>
        <v>0</v>
      </c>
      <c r="U312" s="113">
        <f t="shared" si="76"/>
        <v>0</v>
      </c>
      <c r="V312" s="26">
        <f t="shared" si="77"/>
        <v>0</v>
      </c>
    </row>
    <row r="313" spans="3:22" s="20" customFormat="1" ht="42.75" customHeight="1">
      <c r="C313" s="27"/>
      <c r="D313" s="27"/>
      <c r="E313" s="27"/>
      <c r="F313" s="28" t="s">
        <v>18</v>
      </c>
      <c r="G313" s="110"/>
      <c r="H313" s="110"/>
      <c r="I313" s="111"/>
      <c r="J313" s="25"/>
      <c r="K313" s="6"/>
      <c r="L313" s="110">
        <v>360000</v>
      </c>
      <c r="M313" s="110">
        <v>219000</v>
      </c>
      <c r="N313" s="110"/>
      <c r="O313" s="124">
        <v>0</v>
      </c>
      <c r="P313" s="25">
        <f t="shared" si="94"/>
        <v>0</v>
      </c>
      <c r="Q313" s="1">
        <v>105750</v>
      </c>
      <c r="R313" s="110">
        <f t="shared" si="73"/>
        <v>360000</v>
      </c>
      <c r="S313" s="110">
        <f t="shared" si="74"/>
        <v>219000</v>
      </c>
      <c r="T313" s="113">
        <f t="shared" si="75"/>
        <v>0</v>
      </c>
      <c r="U313" s="113">
        <f t="shared" si="76"/>
        <v>0</v>
      </c>
      <c r="V313" s="26">
        <f t="shared" si="77"/>
        <v>0</v>
      </c>
    </row>
    <row r="314" spans="3:22" s="29" customFormat="1" ht="36.75" customHeight="1">
      <c r="C314" s="18"/>
      <c r="D314" s="18"/>
      <c r="E314" s="18"/>
      <c r="F314" s="50" t="s">
        <v>5</v>
      </c>
      <c r="G314" s="115">
        <f>G300+G301+G306+G310+G312+G308</f>
        <v>2166100</v>
      </c>
      <c r="H314" s="115">
        <f>H300+H306+H310+H312</f>
        <v>636537</v>
      </c>
      <c r="I314" s="115">
        <f>I300+I301+I306+I310+I312+I308</f>
        <v>544769.01</v>
      </c>
      <c r="J314" s="39">
        <f t="shared" si="93"/>
        <v>25.14976270716957</v>
      </c>
      <c r="K314" s="7">
        <f>K300+K301+K306+K310+K312+K308</f>
        <v>0</v>
      </c>
      <c r="L314" s="115">
        <f>L312+L310+L306+L300</f>
        <v>624000</v>
      </c>
      <c r="M314" s="115">
        <f>M312+M310+M306+M300</f>
        <v>219000</v>
      </c>
      <c r="N314" s="115">
        <f>N312+N310+N306+N300</f>
        <v>0</v>
      </c>
      <c r="O314" s="115">
        <f>O312+O310+O306+O300</f>
        <v>0</v>
      </c>
      <c r="P314" s="39">
        <f t="shared" si="94"/>
        <v>0</v>
      </c>
      <c r="Q314" s="7">
        <f>Q300+Q301+Q306+Q310+Q312+Q308</f>
        <v>105750</v>
      </c>
      <c r="R314" s="115">
        <f t="shared" si="73"/>
        <v>2790100</v>
      </c>
      <c r="S314" s="115">
        <f t="shared" si="74"/>
        <v>855537</v>
      </c>
      <c r="T314" s="138">
        <f t="shared" si="75"/>
        <v>544769.01</v>
      </c>
      <c r="U314" s="138">
        <f t="shared" si="76"/>
        <v>0</v>
      </c>
      <c r="V314" s="92">
        <f t="shared" si="77"/>
        <v>19.525071144403427</v>
      </c>
    </row>
    <row r="315" spans="3:22" s="29" customFormat="1" ht="36" customHeight="1">
      <c r="C315" s="18" t="s">
        <v>104</v>
      </c>
      <c r="D315" s="18"/>
      <c r="E315" s="18"/>
      <c r="F315" s="38" t="s">
        <v>443</v>
      </c>
      <c r="G315" s="115"/>
      <c r="H315" s="115"/>
      <c r="I315" s="115"/>
      <c r="J315" s="7"/>
      <c r="K315" s="7"/>
      <c r="L315" s="115"/>
      <c r="M315" s="115"/>
      <c r="N315" s="115"/>
      <c r="O315" s="130"/>
      <c r="P315" s="25"/>
      <c r="Q315" s="7"/>
      <c r="R315" s="110"/>
      <c r="S315" s="110"/>
      <c r="T315" s="113"/>
      <c r="U315" s="113"/>
      <c r="V315" s="26"/>
    </row>
    <row r="316" spans="3:22" s="20" customFormat="1" ht="44.25" customHeight="1">
      <c r="C316" s="21" t="s">
        <v>105</v>
      </c>
      <c r="D316" s="27"/>
      <c r="E316" s="27"/>
      <c r="F316" s="61" t="s">
        <v>379</v>
      </c>
      <c r="G316" s="111"/>
      <c r="H316" s="111"/>
      <c r="I316" s="111"/>
      <c r="J316" s="6"/>
      <c r="K316" s="6"/>
      <c r="L316" s="111"/>
      <c r="M316" s="111"/>
      <c r="N316" s="111"/>
      <c r="O316" s="125"/>
      <c r="P316" s="25"/>
      <c r="Q316" s="6"/>
      <c r="R316" s="110"/>
      <c r="S316" s="110"/>
      <c r="T316" s="113"/>
      <c r="U316" s="113"/>
      <c r="V316" s="26"/>
    </row>
    <row r="317" spans="1:22" s="17" customFormat="1" ht="37.5" customHeight="1">
      <c r="A317" s="17">
        <v>8</v>
      </c>
      <c r="B317" s="17">
        <v>57</v>
      </c>
      <c r="C317" s="23" t="s">
        <v>106</v>
      </c>
      <c r="D317" s="23" t="s">
        <v>33</v>
      </c>
      <c r="E317" s="23" t="s">
        <v>30</v>
      </c>
      <c r="F317" s="41" t="s">
        <v>99</v>
      </c>
      <c r="G317" s="110">
        <f>G319+G318</f>
        <v>3295500</v>
      </c>
      <c r="H317" s="110">
        <f>H319+H318</f>
        <v>914419</v>
      </c>
      <c r="I317" s="110">
        <f>I319+I318</f>
        <v>834549.78</v>
      </c>
      <c r="J317" s="25">
        <f>I317/G317*100</f>
        <v>25.323919890760127</v>
      </c>
      <c r="K317" s="1"/>
      <c r="L317" s="110">
        <f>L319+L318</f>
        <v>0</v>
      </c>
      <c r="M317" s="110">
        <f>M319+M318</f>
        <v>0</v>
      </c>
      <c r="N317" s="110">
        <f>N319+N318</f>
        <v>0</v>
      </c>
      <c r="O317" s="110">
        <f>O319+O318</f>
        <v>0</v>
      </c>
      <c r="P317" s="25"/>
      <c r="Q317" s="1"/>
      <c r="R317" s="110">
        <f t="shared" si="73"/>
        <v>3295500</v>
      </c>
      <c r="S317" s="110">
        <f t="shared" si="74"/>
        <v>914419</v>
      </c>
      <c r="T317" s="113">
        <f t="shared" si="75"/>
        <v>834549.78</v>
      </c>
      <c r="U317" s="113">
        <f t="shared" si="76"/>
        <v>0</v>
      </c>
      <c r="V317" s="26">
        <f t="shared" si="77"/>
        <v>25.323919890760127</v>
      </c>
    </row>
    <row r="318" spans="3:22" s="17" customFormat="1" ht="15">
      <c r="C318" s="23"/>
      <c r="D318" s="23"/>
      <c r="E318" s="23"/>
      <c r="F318" s="62" t="s">
        <v>487</v>
      </c>
      <c r="G318" s="110">
        <v>3285500</v>
      </c>
      <c r="H318" s="110">
        <v>904419</v>
      </c>
      <c r="I318" s="110">
        <v>834549.78</v>
      </c>
      <c r="J318" s="25"/>
      <c r="K318" s="1"/>
      <c r="L318" s="110"/>
      <c r="M318" s="110"/>
      <c r="N318" s="110"/>
      <c r="O318" s="124"/>
      <c r="P318" s="25"/>
      <c r="Q318" s="1"/>
      <c r="R318" s="110">
        <f aca="true" t="shared" si="96" ref="R318:T319">G318+L318</f>
        <v>3285500</v>
      </c>
      <c r="S318" s="110">
        <f t="shared" si="96"/>
        <v>904419</v>
      </c>
      <c r="T318" s="113">
        <f t="shared" si="96"/>
        <v>834549.78</v>
      </c>
      <c r="U318" s="113">
        <f>O318</f>
        <v>0</v>
      </c>
      <c r="V318" s="26">
        <f>T318/R318*100</f>
        <v>25.40099771724243</v>
      </c>
    </row>
    <row r="319" spans="3:22" s="17" customFormat="1" ht="46.5">
      <c r="C319" s="23"/>
      <c r="D319" s="23"/>
      <c r="E319" s="23"/>
      <c r="F319" s="96" t="s">
        <v>463</v>
      </c>
      <c r="G319" s="110">
        <v>10000</v>
      </c>
      <c r="H319" s="110">
        <v>10000</v>
      </c>
      <c r="I319" s="110"/>
      <c r="J319" s="25"/>
      <c r="K319" s="1"/>
      <c r="L319" s="110"/>
      <c r="M319" s="110"/>
      <c r="N319" s="110"/>
      <c r="O319" s="124"/>
      <c r="P319" s="25"/>
      <c r="Q319" s="1"/>
      <c r="R319" s="110">
        <f t="shared" si="96"/>
        <v>10000</v>
      </c>
      <c r="S319" s="110">
        <f t="shared" si="96"/>
        <v>10000</v>
      </c>
      <c r="T319" s="113">
        <f t="shared" si="96"/>
        <v>0</v>
      </c>
      <c r="U319" s="113">
        <f>O319</f>
        <v>0</v>
      </c>
      <c r="V319" s="26">
        <f>T319/R319*100</f>
        <v>0</v>
      </c>
    </row>
    <row r="320" spans="3:22" s="20" customFormat="1" ht="43.5" customHeight="1">
      <c r="C320" s="23" t="s">
        <v>329</v>
      </c>
      <c r="D320" s="23" t="s">
        <v>256</v>
      </c>
      <c r="E320" s="23" t="s">
        <v>31</v>
      </c>
      <c r="F320" s="41" t="s">
        <v>205</v>
      </c>
      <c r="G320" s="110"/>
      <c r="H320" s="114">
        <f aca="true" t="shared" si="97" ref="H320:O320">H321</f>
        <v>0</v>
      </c>
      <c r="I320" s="114">
        <f t="shared" si="97"/>
        <v>0</v>
      </c>
      <c r="J320" s="25"/>
      <c r="K320" s="5">
        <f t="shared" si="97"/>
        <v>0</v>
      </c>
      <c r="L320" s="114">
        <f t="shared" si="97"/>
        <v>560000</v>
      </c>
      <c r="M320" s="114">
        <f t="shared" si="97"/>
        <v>189000</v>
      </c>
      <c r="N320" s="114">
        <f t="shared" si="97"/>
        <v>0</v>
      </c>
      <c r="O320" s="135">
        <f t="shared" si="97"/>
        <v>0</v>
      </c>
      <c r="P320" s="25">
        <f t="shared" si="94"/>
        <v>0</v>
      </c>
      <c r="Q320" s="5">
        <f>Q321</f>
        <v>1368700</v>
      </c>
      <c r="R320" s="110">
        <f t="shared" si="73"/>
        <v>560000</v>
      </c>
      <c r="S320" s="110">
        <f t="shared" si="74"/>
        <v>189000</v>
      </c>
      <c r="T320" s="113">
        <f t="shared" si="75"/>
        <v>0</v>
      </c>
      <c r="U320" s="113">
        <f t="shared" si="76"/>
        <v>0</v>
      </c>
      <c r="V320" s="26">
        <f t="shared" si="77"/>
        <v>0</v>
      </c>
    </row>
    <row r="321" spans="3:22" s="20" customFormat="1" ht="61.5" customHeight="1">
      <c r="C321" s="27"/>
      <c r="D321" s="27"/>
      <c r="E321" s="27"/>
      <c r="F321" s="28" t="s">
        <v>76</v>
      </c>
      <c r="G321" s="110"/>
      <c r="H321" s="114"/>
      <c r="I321" s="119"/>
      <c r="J321" s="25"/>
      <c r="K321" s="36"/>
      <c r="L321" s="110">
        <v>560000</v>
      </c>
      <c r="M321" s="110">
        <v>189000</v>
      </c>
      <c r="N321" s="114"/>
      <c r="O321" s="135">
        <f>N321</f>
        <v>0</v>
      </c>
      <c r="P321" s="25">
        <f t="shared" si="94"/>
        <v>0</v>
      </c>
      <c r="Q321" s="5">
        <v>1368700</v>
      </c>
      <c r="R321" s="110">
        <f t="shared" si="73"/>
        <v>560000</v>
      </c>
      <c r="S321" s="110">
        <f t="shared" si="74"/>
        <v>189000</v>
      </c>
      <c r="T321" s="113">
        <f t="shared" si="75"/>
        <v>0</v>
      </c>
      <c r="U321" s="113">
        <f t="shared" si="76"/>
        <v>0</v>
      </c>
      <c r="V321" s="26">
        <f t="shared" si="77"/>
        <v>0</v>
      </c>
    </row>
    <row r="322" spans="1:22" s="17" customFormat="1" ht="43.5" customHeight="1">
      <c r="A322" s="29">
        <v>2</v>
      </c>
      <c r="B322" s="17">
        <v>60</v>
      </c>
      <c r="C322" s="23" t="s">
        <v>218</v>
      </c>
      <c r="D322" s="23" t="s">
        <v>206</v>
      </c>
      <c r="E322" s="23" t="s">
        <v>68</v>
      </c>
      <c r="F322" s="41" t="s">
        <v>343</v>
      </c>
      <c r="G322" s="110">
        <f>G323</f>
        <v>292459</v>
      </c>
      <c r="H322" s="110">
        <f>H323</f>
        <v>200569</v>
      </c>
      <c r="I322" s="110">
        <f>I323</f>
        <v>54932.4</v>
      </c>
      <c r="J322" s="25">
        <f aca="true" t="shared" si="98" ref="J322:J330">I322/G322*100</f>
        <v>18.78294051473882</v>
      </c>
      <c r="K322" s="1">
        <f>SUM(K323:K324)</f>
        <v>0</v>
      </c>
      <c r="L322" s="110">
        <f>L323</f>
        <v>15500</v>
      </c>
      <c r="M322" s="110">
        <f>M323</f>
        <v>15500</v>
      </c>
      <c r="N322" s="110">
        <f>N323</f>
        <v>14060</v>
      </c>
      <c r="O322" s="124">
        <f>O323</f>
        <v>14060</v>
      </c>
      <c r="P322" s="25">
        <f t="shared" si="94"/>
        <v>90.70967741935483</v>
      </c>
      <c r="Q322" s="1">
        <f>SUM(Q323:Q324)</f>
        <v>0</v>
      </c>
      <c r="R322" s="110">
        <f t="shared" si="73"/>
        <v>307959</v>
      </c>
      <c r="S322" s="110">
        <f t="shared" si="74"/>
        <v>216069</v>
      </c>
      <c r="T322" s="113">
        <f t="shared" si="75"/>
        <v>68992.4</v>
      </c>
      <c r="U322" s="113">
        <f t="shared" si="76"/>
        <v>14060</v>
      </c>
      <c r="V322" s="26">
        <f t="shared" si="77"/>
        <v>22.403112102585084</v>
      </c>
    </row>
    <row r="323" spans="1:22" s="20" customFormat="1" ht="60.75" customHeight="1">
      <c r="A323" s="30"/>
      <c r="C323" s="27"/>
      <c r="D323" s="27"/>
      <c r="E323" s="27"/>
      <c r="F323" s="28" t="s">
        <v>310</v>
      </c>
      <c r="G323" s="110">
        <v>292459</v>
      </c>
      <c r="H323" s="110">
        <v>200569</v>
      </c>
      <c r="I323" s="110">
        <v>54932.4</v>
      </c>
      <c r="J323" s="25">
        <f t="shared" si="98"/>
        <v>18.78294051473882</v>
      </c>
      <c r="K323" s="6"/>
      <c r="L323" s="110">
        <v>15500</v>
      </c>
      <c r="M323" s="110">
        <v>15500</v>
      </c>
      <c r="N323" s="110">
        <v>14060</v>
      </c>
      <c r="O323" s="124">
        <f>N323</f>
        <v>14060</v>
      </c>
      <c r="P323" s="25">
        <f t="shared" si="94"/>
        <v>90.70967741935483</v>
      </c>
      <c r="Q323" s="6"/>
      <c r="R323" s="110">
        <f t="shared" si="73"/>
        <v>307959</v>
      </c>
      <c r="S323" s="110">
        <f t="shared" si="74"/>
        <v>216069</v>
      </c>
      <c r="T323" s="113">
        <f t="shared" si="75"/>
        <v>68992.4</v>
      </c>
      <c r="U323" s="113">
        <f t="shared" si="76"/>
        <v>14060</v>
      </c>
      <c r="V323" s="26">
        <f t="shared" si="77"/>
        <v>22.403112102585084</v>
      </c>
    </row>
    <row r="324" spans="1:22" s="20" customFormat="1" ht="63" customHeight="1" hidden="1">
      <c r="A324" s="30"/>
      <c r="C324" s="51"/>
      <c r="D324" s="51"/>
      <c r="E324" s="51"/>
      <c r="F324" s="28" t="s">
        <v>14</v>
      </c>
      <c r="G324" s="111">
        <f>H324+K324</f>
        <v>0</v>
      </c>
      <c r="H324" s="111"/>
      <c r="I324" s="111"/>
      <c r="J324" s="25" t="e">
        <f t="shared" si="98"/>
        <v>#DIV/0!</v>
      </c>
      <c r="K324" s="6"/>
      <c r="L324" s="111">
        <f>N324+Q324</f>
        <v>0</v>
      </c>
      <c r="M324" s="111"/>
      <c r="N324" s="111"/>
      <c r="O324" s="125"/>
      <c r="P324" s="25" t="e">
        <f t="shared" si="94"/>
        <v>#DIV/0!</v>
      </c>
      <c r="Q324" s="6"/>
      <c r="R324" s="110">
        <f t="shared" si="73"/>
        <v>0</v>
      </c>
      <c r="S324" s="110">
        <f t="shared" si="74"/>
        <v>0</v>
      </c>
      <c r="T324" s="113">
        <f t="shared" si="75"/>
        <v>0</v>
      </c>
      <c r="U324" s="113">
        <f t="shared" si="76"/>
        <v>0</v>
      </c>
      <c r="V324" s="26" t="e">
        <f t="shared" si="77"/>
        <v>#DIV/0!</v>
      </c>
    </row>
    <row r="325" spans="1:22" s="17" customFormat="1" ht="49.5" customHeight="1">
      <c r="A325" s="29">
        <v>3</v>
      </c>
      <c r="B325" s="17">
        <v>59</v>
      </c>
      <c r="C325" s="23" t="s">
        <v>219</v>
      </c>
      <c r="D325" s="23" t="s">
        <v>59</v>
      </c>
      <c r="E325" s="23" t="s">
        <v>68</v>
      </c>
      <c r="F325" s="41" t="s">
        <v>220</v>
      </c>
      <c r="G325" s="110">
        <v>799600</v>
      </c>
      <c r="H325" s="110">
        <v>279770</v>
      </c>
      <c r="I325" s="110">
        <v>219013.19</v>
      </c>
      <c r="J325" s="25">
        <f t="shared" si="98"/>
        <v>27.39034392196098</v>
      </c>
      <c r="K325" s="1"/>
      <c r="L325" s="110"/>
      <c r="M325" s="110"/>
      <c r="N325" s="110"/>
      <c r="O325" s="124"/>
      <c r="P325" s="25"/>
      <c r="Q325" s="1">
        <v>20000</v>
      </c>
      <c r="R325" s="110">
        <f aca="true" t="shared" si="99" ref="R325:R342">G325+L325</f>
        <v>799600</v>
      </c>
      <c r="S325" s="110">
        <f aca="true" t="shared" si="100" ref="S325:S342">H325+M325</f>
        <v>279770</v>
      </c>
      <c r="T325" s="113">
        <f aca="true" t="shared" si="101" ref="T325:T342">I325+N325</f>
        <v>219013.19</v>
      </c>
      <c r="U325" s="113">
        <f aca="true" t="shared" si="102" ref="U325:U341">O325</f>
        <v>0</v>
      </c>
      <c r="V325" s="26">
        <f aca="true" t="shared" si="103" ref="V325:V342">T325/R325*100</f>
        <v>27.39034392196098</v>
      </c>
    </row>
    <row r="326" spans="1:22" s="17" customFormat="1" ht="31.5" customHeight="1">
      <c r="A326" s="29"/>
      <c r="C326" s="23" t="s">
        <v>222</v>
      </c>
      <c r="D326" s="23" t="s">
        <v>223</v>
      </c>
      <c r="E326" s="23" t="s">
        <v>67</v>
      </c>
      <c r="F326" s="41" t="s">
        <v>224</v>
      </c>
      <c r="G326" s="110">
        <f>G327</f>
        <v>571600</v>
      </c>
      <c r="H326" s="110">
        <f>H327</f>
        <v>131400</v>
      </c>
      <c r="I326" s="110">
        <f>I327</f>
        <v>79328.36</v>
      </c>
      <c r="J326" s="25">
        <f t="shared" si="98"/>
        <v>13.878299510146954</v>
      </c>
      <c r="K326" s="1">
        <f>K327</f>
        <v>0</v>
      </c>
      <c r="L326" s="110">
        <f>L327</f>
        <v>0</v>
      </c>
      <c r="M326" s="110">
        <f>M327</f>
        <v>0</v>
      </c>
      <c r="N326" s="110">
        <f>N327</f>
        <v>0</v>
      </c>
      <c r="O326" s="124">
        <f>O327</f>
        <v>0</v>
      </c>
      <c r="P326" s="25"/>
      <c r="Q326" s="1">
        <f>Q327</f>
        <v>0</v>
      </c>
      <c r="R326" s="110">
        <f>G326+L326</f>
        <v>571600</v>
      </c>
      <c r="S326" s="110">
        <f t="shared" si="100"/>
        <v>131400</v>
      </c>
      <c r="T326" s="113">
        <f t="shared" si="101"/>
        <v>79328.36</v>
      </c>
      <c r="U326" s="113">
        <f t="shared" si="102"/>
        <v>0</v>
      </c>
      <c r="V326" s="26">
        <f t="shared" si="103"/>
        <v>13.878299510146954</v>
      </c>
    </row>
    <row r="327" spans="1:22" s="20" customFormat="1" ht="57" customHeight="1">
      <c r="A327" s="30"/>
      <c r="C327" s="27"/>
      <c r="D327" s="27"/>
      <c r="E327" s="27"/>
      <c r="F327" s="28" t="s">
        <v>76</v>
      </c>
      <c r="G327" s="110">
        <v>571600</v>
      </c>
      <c r="H327" s="110">
        <v>131400</v>
      </c>
      <c r="I327" s="110">
        <v>79328.36</v>
      </c>
      <c r="J327" s="25">
        <f t="shared" si="98"/>
        <v>13.878299510146954</v>
      </c>
      <c r="K327" s="6"/>
      <c r="L327" s="110"/>
      <c r="M327" s="110"/>
      <c r="N327" s="110"/>
      <c r="O327" s="124"/>
      <c r="P327" s="25"/>
      <c r="Q327" s="1"/>
      <c r="R327" s="110">
        <f t="shared" si="99"/>
        <v>571600</v>
      </c>
      <c r="S327" s="110">
        <f t="shared" si="100"/>
        <v>131400</v>
      </c>
      <c r="T327" s="113">
        <f t="shared" si="101"/>
        <v>79328.36</v>
      </c>
      <c r="U327" s="113">
        <f t="shared" si="102"/>
        <v>0</v>
      </c>
      <c r="V327" s="26">
        <f t="shared" si="103"/>
        <v>13.878299510146954</v>
      </c>
    </row>
    <row r="328" spans="1:22" s="17" customFormat="1" ht="37.5" customHeight="1">
      <c r="A328" s="29"/>
      <c r="C328" s="23" t="s">
        <v>221</v>
      </c>
      <c r="D328" s="23" t="s">
        <v>111</v>
      </c>
      <c r="E328" s="23" t="s">
        <v>29</v>
      </c>
      <c r="F328" s="41" t="s">
        <v>358</v>
      </c>
      <c r="G328" s="110">
        <f>G329</f>
        <v>100000</v>
      </c>
      <c r="H328" s="110">
        <f>H329</f>
        <v>100000</v>
      </c>
      <c r="I328" s="110">
        <f>I329</f>
        <v>100000</v>
      </c>
      <c r="J328" s="25">
        <f t="shared" si="98"/>
        <v>100</v>
      </c>
      <c r="K328" s="1" t="e">
        <f>K329+#REF!</f>
        <v>#REF!</v>
      </c>
      <c r="L328" s="110">
        <f>L329</f>
        <v>0</v>
      </c>
      <c r="M328" s="110">
        <f>M329</f>
        <v>0</v>
      </c>
      <c r="N328" s="110">
        <f>N329</f>
        <v>0</v>
      </c>
      <c r="O328" s="110">
        <f>O329</f>
        <v>0</v>
      </c>
      <c r="P328" s="25"/>
      <c r="Q328" s="1" t="e">
        <f>Q329+#REF!</f>
        <v>#REF!</v>
      </c>
      <c r="R328" s="110">
        <f t="shared" si="99"/>
        <v>100000</v>
      </c>
      <c r="S328" s="110">
        <f t="shared" si="100"/>
        <v>100000</v>
      </c>
      <c r="T328" s="113">
        <f t="shared" si="101"/>
        <v>100000</v>
      </c>
      <c r="U328" s="113">
        <f t="shared" si="102"/>
        <v>0</v>
      </c>
      <c r="V328" s="26">
        <f t="shared" si="103"/>
        <v>100</v>
      </c>
    </row>
    <row r="329" spans="3:22" s="20" customFormat="1" ht="105" customHeight="1">
      <c r="C329" s="27"/>
      <c r="D329" s="27"/>
      <c r="E329" s="27"/>
      <c r="F329" s="97" t="s">
        <v>469</v>
      </c>
      <c r="G329" s="110">
        <v>100000</v>
      </c>
      <c r="H329" s="110">
        <v>100000</v>
      </c>
      <c r="I329" s="110">
        <v>100000</v>
      </c>
      <c r="J329" s="25">
        <f t="shared" si="98"/>
        <v>100</v>
      </c>
      <c r="K329" s="6"/>
      <c r="L329" s="111"/>
      <c r="M329" s="111"/>
      <c r="N329" s="111"/>
      <c r="O329" s="125"/>
      <c r="P329" s="25"/>
      <c r="Q329" s="6"/>
      <c r="R329" s="110">
        <f t="shared" si="99"/>
        <v>100000</v>
      </c>
      <c r="S329" s="110">
        <f t="shared" si="100"/>
        <v>100000</v>
      </c>
      <c r="T329" s="113">
        <f t="shared" si="101"/>
        <v>100000</v>
      </c>
      <c r="U329" s="113">
        <f t="shared" si="102"/>
        <v>0</v>
      </c>
      <c r="V329" s="26">
        <f t="shared" si="103"/>
        <v>100</v>
      </c>
    </row>
    <row r="330" spans="3:22" s="29" customFormat="1" ht="34.5" customHeight="1">
      <c r="C330" s="18"/>
      <c r="D330" s="18"/>
      <c r="E330" s="18"/>
      <c r="F330" s="50" t="s">
        <v>5</v>
      </c>
      <c r="G330" s="115">
        <f>G317+G320+G322+G325+G326+G328</f>
        <v>5059159</v>
      </c>
      <c r="H330" s="115">
        <f>H317+H320+H322+H325+H326+H328</f>
        <v>1626158</v>
      </c>
      <c r="I330" s="115">
        <f>I317+I320+I322+I325+I326+I328</f>
        <v>1287823.7300000002</v>
      </c>
      <c r="J330" s="39">
        <f t="shared" si="98"/>
        <v>25.455292668208294</v>
      </c>
      <c r="K330" s="7" t="e">
        <f>K317+K320+K322+K325+K326+K328</f>
        <v>#REF!</v>
      </c>
      <c r="L330" s="115">
        <f>L317+L320+L322+L325+L326+L328</f>
        <v>575500</v>
      </c>
      <c r="M330" s="115">
        <f>M317+M320+M322+M325+M326+M328</f>
        <v>204500</v>
      </c>
      <c r="N330" s="115">
        <f>N317+N320+N322+N325+N326+N328</f>
        <v>14060</v>
      </c>
      <c r="O330" s="130">
        <f>O317+O320+O322+O325+O326+O328</f>
        <v>14060</v>
      </c>
      <c r="P330" s="39">
        <f t="shared" si="94"/>
        <v>2.4430929626411815</v>
      </c>
      <c r="Q330" s="7" t="e">
        <f>Q317+Q320+Q322+Q325+Q326+Q328</f>
        <v>#REF!</v>
      </c>
      <c r="R330" s="110">
        <f t="shared" si="99"/>
        <v>5634659</v>
      </c>
      <c r="S330" s="110">
        <f t="shared" si="100"/>
        <v>1830658</v>
      </c>
      <c r="T330" s="113">
        <f t="shared" si="101"/>
        <v>1301883.7300000002</v>
      </c>
      <c r="U330" s="113">
        <f t="shared" si="102"/>
        <v>14060</v>
      </c>
      <c r="V330" s="26">
        <f t="shared" si="103"/>
        <v>23.104924894301504</v>
      </c>
    </row>
    <row r="331" spans="3:22" s="29" customFormat="1" ht="30" customHeight="1">
      <c r="C331" s="18" t="s">
        <v>107</v>
      </c>
      <c r="D331" s="18"/>
      <c r="E331" s="18"/>
      <c r="F331" s="38" t="s">
        <v>380</v>
      </c>
      <c r="G331" s="115"/>
      <c r="H331" s="115"/>
      <c r="I331" s="115"/>
      <c r="J331" s="7"/>
      <c r="K331" s="7"/>
      <c r="L331" s="115"/>
      <c r="M331" s="115"/>
      <c r="N331" s="115"/>
      <c r="O331" s="130"/>
      <c r="P331" s="39"/>
      <c r="Q331" s="7"/>
      <c r="R331" s="110"/>
      <c r="S331" s="110"/>
      <c r="T331" s="113"/>
      <c r="U331" s="113"/>
      <c r="V331" s="26"/>
    </row>
    <row r="332" spans="3:22" s="20" customFormat="1" ht="29.25" customHeight="1">
      <c r="C332" s="21" t="s">
        <v>108</v>
      </c>
      <c r="D332" s="27"/>
      <c r="E332" s="27"/>
      <c r="F332" s="31" t="s">
        <v>444</v>
      </c>
      <c r="G332" s="111"/>
      <c r="H332" s="111"/>
      <c r="I332" s="111"/>
      <c r="J332" s="6"/>
      <c r="K332" s="6"/>
      <c r="L332" s="111"/>
      <c r="M332" s="111"/>
      <c r="N332" s="111"/>
      <c r="O332" s="125"/>
      <c r="P332" s="39"/>
      <c r="Q332" s="6"/>
      <c r="R332" s="110"/>
      <c r="S332" s="110"/>
      <c r="T332" s="113"/>
      <c r="U332" s="113"/>
      <c r="V332" s="26"/>
    </row>
    <row r="333" spans="1:22" s="17" customFormat="1" ht="39" customHeight="1">
      <c r="A333" s="17">
        <v>6</v>
      </c>
      <c r="B333" s="17">
        <v>45</v>
      </c>
      <c r="C333" s="23" t="s">
        <v>264</v>
      </c>
      <c r="D333" s="23" t="s">
        <v>33</v>
      </c>
      <c r="E333" s="23" t="s">
        <v>30</v>
      </c>
      <c r="F333" s="41" t="s">
        <v>99</v>
      </c>
      <c r="G333" s="110">
        <f>G334+G335</f>
        <v>4898720</v>
      </c>
      <c r="H333" s="110">
        <f>H334+H335</f>
        <v>1264643</v>
      </c>
      <c r="I333" s="110">
        <f>I334+I335</f>
        <v>1098470.21</v>
      </c>
      <c r="J333" s="25">
        <f>I333/G333*100</f>
        <v>22.42361698566156</v>
      </c>
      <c r="K333" s="1"/>
      <c r="L333" s="110">
        <f>L334+L335</f>
        <v>21000</v>
      </c>
      <c r="M333" s="110">
        <f>M334+M335</f>
        <v>21000</v>
      </c>
      <c r="N333" s="110">
        <f>N334+N335</f>
        <v>0</v>
      </c>
      <c r="O333" s="110">
        <f>O334+O335</f>
        <v>0</v>
      </c>
      <c r="P333" s="25">
        <f t="shared" si="94"/>
        <v>0</v>
      </c>
      <c r="Q333" s="1"/>
      <c r="R333" s="110">
        <f t="shared" si="99"/>
        <v>4919720</v>
      </c>
      <c r="S333" s="110">
        <f t="shared" si="100"/>
        <v>1285643</v>
      </c>
      <c r="T333" s="113">
        <f t="shared" si="101"/>
        <v>1098470.21</v>
      </c>
      <c r="U333" s="113">
        <f t="shared" si="102"/>
        <v>0</v>
      </c>
      <c r="V333" s="26">
        <f t="shared" si="103"/>
        <v>22.327900978104445</v>
      </c>
    </row>
    <row r="334" spans="3:22" s="17" customFormat="1" ht="15">
      <c r="C334" s="23"/>
      <c r="D334" s="23"/>
      <c r="E334" s="23"/>
      <c r="F334" s="62" t="s">
        <v>488</v>
      </c>
      <c r="G334" s="110">
        <v>4890000</v>
      </c>
      <c r="H334" s="110">
        <v>1255923</v>
      </c>
      <c r="I334" s="110">
        <v>1098470.21</v>
      </c>
      <c r="J334" s="25">
        <f>I334/G334*100</f>
        <v>22.463603476482614</v>
      </c>
      <c r="K334" s="1"/>
      <c r="L334" s="110">
        <v>21000</v>
      </c>
      <c r="M334" s="110">
        <v>21000</v>
      </c>
      <c r="N334" s="110"/>
      <c r="O334" s="124"/>
      <c r="P334" s="25"/>
      <c r="Q334" s="1"/>
      <c r="R334" s="110">
        <f aca="true" t="shared" si="104" ref="R334:T335">G334+L334</f>
        <v>4911000</v>
      </c>
      <c r="S334" s="110">
        <f t="shared" si="104"/>
        <v>1276923</v>
      </c>
      <c r="T334" s="113">
        <f t="shared" si="104"/>
        <v>1098470.21</v>
      </c>
      <c r="U334" s="113">
        <f>O334</f>
        <v>0</v>
      </c>
      <c r="V334" s="26">
        <f>T334/R334*100</f>
        <v>22.367546528201995</v>
      </c>
    </row>
    <row r="335" spans="3:22" s="17" customFormat="1" ht="46.5">
      <c r="C335" s="23"/>
      <c r="D335" s="23"/>
      <c r="E335" s="23"/>
      <c r="F335" s="96" t="s">
        <v>463</v>
      </c>
      <c r="G335" s="110">
        <v>8720</v>
      </c>
      <c r="H335" s="110">
        <v>8720</v>
      </c>
      <c r="I335" s="110"/>
      <c r="J335" s="25">
        <f>I335/G335*100</f>
        <v>0</v>
      </c>
      <c r="K335" s="1"/>
      <c r="L335" s="110"/>
      <c r="M335" s="110"/>
      <c r="N335" s="110"/>
      <c r="O335" s="124"/>
      <c r="P335" s="25"/>
      <c r="Q335" s="1"/>
      <c r="R335" s="110">
        <f t="shared" si="104"/>
        <v>8720</v>
      </c>
      <c r="S335" s="110">
        <f t="shared" si="104"/>
        <v>8720</v>
      </c>
      <c r="T335" s="113">
        <f t="shared" si="104"/>
        <v>0</v>
      </c>
      <c r="U335" s="113">
        <f>O335</f>
        <v>0</v>
      </c>
      <c r="V335" s="26">
        <f>T335/R335*100</f>
        <v>0</v>
      </c>
    </row>
    <row r="336" spans="3:22" s="20" customFormat="1" ht="45.75" customHeight="1">
      <c r="C336" s="23" t="s">
        <v>311</v>
      </c>
      <c r="D336" s="23" t="s">
        <v>256</v>
      </c>
      <c r="E336" s="23" t="s">
        <v>31</v>
      </c>
      <c r="F336" s="24" t="s">
        <v>205</v>
      </c>
      <c r="G336" s="110">
        <f>G337</f>
        <v>1135703</v>
      </c>
      <c r="H336" s="110">
        <f>H337</f>
        <v>1105001</v>
      </c>
      <c r="I336" s="110">
        <f>I337</f>
        <v>0</v>
      </c>
      <c r="J336" s="25">
        <f aca="true" t="shared" si="105" ref="J336:J343">I336/G336*100</f>
        <v>0</v>
      </c>
      <c r="K336" s="1">
        <f aca="true" t="shared" si="106" ref="K336:Q336">K337</f>
        <v>0</v>
      </c>
      <c r="L336" s="110">
        <f>N336+Q336</f>
        <v>0</v>
      </c>
      <c r="M336" s="110">
        <f t="shared" si="106"/>
        <v>0</v>
      </c>
      <c r="N336" s="110">
        <f t="shared" si="106"/>
        <v>0</v>
      </c>
      <c r="O336" s="124">
        <f t="shared" si="106"/>
        <v>0</v>
      </c>
      <c r="P336" s="39"/>
      <c r="Q336" s="1">
        <f t="shared" si="106"/>
        <v>0</v>
      </c>
      <c r="R336" s="110">
        <f t="shared" si="99"/>
        <v>1135703</v>
      </c>
      <c r="S336" s="110">
        <f t="shared" si="100"/>
        <v>1105001</v>
      </c>
      <c r="T336" s="113">
        <f t="shared" si="101"/>
        <v>0</v>
      </c>
      <c r="U336" s="113">
        <f t="shared" si="102"/>
        <v>0</v>
      </c>
      <c r="V336" s="26">
        <f t="shared" si="103"/>
        <v>0</v>
      </c>
    </row>
    <row r="337" spans="3:22" s="20" customFormat="1" ht="40.5" customHeight="1">
      <c r="C337" s="27"/>
      <c r="D337" s="27"/>
      <c r="E337" s="27"/>
      <c r="F337" s="31" t="s">
        <v>312</v>
      </c>
      <c r="G337" s="110">
        <v>1135703</v>
      </c>
      <c r="H337" s="110">
        <v>1105001</v>
      </c>
      <c r="I337" s="110"/>
      <c r="J337" s="25">
        <f t="shared" si="105"/>
        <v>0</v>
      </c>
      <c r="K337" s="5"/>
      <c r="L337" s="110"/>
      <c r="M337" s="110"/>
      <c r="N337" s="119"/>
      <c r="O337" s="129"/>
      <c r="P337" s="36"/>
      <c r="Q337" s="36"/>
      <c r="R337" s="110">
        <f t="shared" si="99"/>
        <v>1135703</v>
      </c>
      <c r="S337" s="110">
        <f t="shared" si="100"/>
        <v>1105001</v>
      </c>
      <c r="T337" s="113">
        <f t="shared" si="101"/>
        <v>0</v>
      </c>
      <c r="U337" s="113">
        <f t="shared" si="102"/>
        <v>0</v>
      </c>
      <c r="V337" s="26">
        <f t="shared" si="103"/>
        <v>0</v>
      </c>
    </row>
    <row r="338" spans="1:22" s="17" customFormat="1" ht="36" customHeight="1">
      <c r="A338" s="17">
        <v>2</v>
      </c>
      <c r="B338" s="17">
        <v>46</v>
      </c>
      <c r="C338" s="23" t="s">
        <v>225</v>
      </c>
      <c r="D338" s="23" t="s">
        <v>342</v>
      </c>
      <c r="E338" s="23" t="s">
        <v>41</v>
      </c>
      <c r="F338" s="41" t="s">
        <v>0</v>
      </c>
      <c r="G338" s="110">
        <v>10000</v>
      </c>
      <c r="H338" s="110"/>
      <c r="I338" s="110"/>
      <c r="J338" s="25">
        <f t="shared" si="105"/>
        <v>0</v>
      </c>
      <c r="K338" s="5"/>
      <c r="L338" s="110"/>
      <c r="M338" s="110"/>
      <c r="N338" s="114"/>
      <c r="O338" s="126"/>
      <c r="P338" s="5"/>
      <c r="Q338" s="5"/>
      <c r="R338" s="110">
        <f t="shared" si="99"/>
        <v>10000</v>
      </c>
      <c r="S338" s="110">
        <f t="shared" si="100"/>
        <v>0</v>
      </c>
      <c r="T338" s="113">
        <f t="shared" si="101"/>
        <v>0</v>
      </c>
      <c r="U338" s="113">
        <f t="shared" si="102"/>
        <v>0</v>
      </c>
      <c r="V338" s="26">
        <f t="shared" si="103"/>
        <v>0</v>
      </c>
    </row>
    <row r="339" spans="1:22" s="17" customFormat="1" ht="33.75" customHeight="1">
      <c r="A339" s="29">
        <v>4</v>
      </c>
      <c r="B339" s="17">
        <v>46</v>
      </c>
      <c r="C339" s="42" t="s">
        <v>226</v>
      </c>
      <c r="D339" s="42" t="s">
        <v>227</v>
      </c>
      <c r="E339" s="42" t="s">
        <v>29</v>
      </c>
      <c r="F339" s="41" t="s">
        <v>12</v>
      </c>
      <c r="G339" s="110">
        <v>63473000</v>
      </c>
      <c r="H339" s="110">
        <v>15868200</v>
      </c>
      <c r="I339" s="110">
        <v>15868200</v>
      </c>
      <c r="J339" s="25">
        <f t="shared" si="105"/>
        <v>24.999921226348214</v>
      </c>
      <c r="K339" s="1"/>
      <c r="L339" s="110"/>
      <c r="M339" s="110"/>
      <c r="N339" s="128"/>
      <c r="O339" s="124"/>
      <c r="P339" s="1"/>
      <c r="Q339" s="1"/>
      <c r="R339" s="110">
        <f t="shared" si="99"/>
        <v>63473000</v>
      </c>
      <c r="S339" s="110">
        <f t="shared" si="100"/>
        <v>15868200</v>
      </c>
      <c r="T339" s="113">
        <f t="shared" si="101"/>
        <v>15868200</v>
      </c>
      <c r="U339" s="113">
        <f t="shared" si="102"/>
        <v>0</v>
      </c>
      <c r="V339" s="26">
        <f t="shared" si="103"/>
        <v>24.999921226348214</v>
      </c>
    </row>
    <row r="340" spans="3:22" s="29" customFormat="1" ht="25.5" customHeight="1">
      <c r="C340" s="18"/>
      <c r="D340" s="18"/>
      <c r="E340" s="18"/>
      <c r="F340" s="46" t="s">
        <v>5</v>
      </c>
      <c r="G340" s="121">
        <f>G333+G336+G338+G339</f>
        <v>69517423</v>
      </c>
      <c r="H340" s="121">
        <f>H333+H336+H338+H339</f>
        <v>18237844</v>
      </c>
      <c r="I340" s="121">
        <f>I333+I336+I338+I339</f>
        <v>16966670.21</v>
      </c>
      <c r="J340" s="25">
        <f t="shared" si="105"/>
        <v>24.40635667694414</v>
      </c>
      <c r="K340" s="13" t="e">
        <f>K333+#REF!+K336++#REF!+#REF!+K338+K339+#REF!+#REF!+#REF!</f>
        <v>#REF!</v>
      </c>
      <c r="L340" s="121">
        <f>L333+L336+L338+L339</f>
        <v>21000</v>
      </c>
      <c r="M340" s="121">
        <f>M333+M336+M338+M339</f>
        <v>21000</v>
      </c>
      <c r="N340" s="121">
        <f>N333+N336+N338+N339</f>
        <v>0</v>
      </c>
      <c r="O340" s="121">
        <f>O333+O336+O338+O339</f>
        <v>0</v>
      </c>
      <c r="P340" s="66">
        <f>N340/L340*100</f>
        <v>0</v>
      </c>
      <c r="Q340" s="13" t="e">
        <f>Q333+#REF!+Q336++#REF!+#REF!+Q338+Q339+#REF!+#REF!+#REF!</f>
        <v>#REF!</v>
      </c>
      <c r="R340" s="115">
        <f t="shared" si="99"/>
        <v>69538423</v>
      </c>
      <c r="S340" s="115">
        <f t="shared" si="100"/>
        <v>18258844</v>
      </c>
      <c r="T340" s="138">
        <f t="shared" si="101"/>
        <v>16966670.21</v>
      </c>
      <c r="U340" s="138">
        <f t="shared" si="102"/>
        <v>0</v>
      </c>
      <c r="V340" s="92">
        <f t="shared" si="103"/>
        <v>24.3989861691284</v>
      </c>
    </row>
    <row r="341" spans="3:22" s="29" customFormat="1" ht="28.5" customHeight="1">
      <c r="C341" s="18"/>
      <c r="D341" s="18"/>
      <c r="E341" s="18"/>
      <c r="F341" s="19" t="s">
        <v>11</v>
      </c>
      <c r="G341" s="121">
        <f>G330+G220+G340+G297+G174+G161+G78+G35+G314</f>
        <v>423861180.09000003</v>
      </c>
      <c r="H341" s="121">
        <f>H330+H220+H340+H297+H174+H161+H78+H35+H314</f>
        <v>133076629.09</v>
      </c>
      <c r="I341" s="121">
        <f>I330+I220+I340+I297+I174+I161+I78+I35+I314</f>
        <v>107389261.04</v>
      </c>
      <c r="J341" s="39">
        <f t="shared" si="105"/>
        <v>25.33595103406206</v>
      </c>
      <c r="K341" s="13" t="e">
        <f>K330+K220+K340+K297+K174+K161+K78+K35+K314</f>
        <v>#REF!</v>
      </c>
      <c r="L341" s="121">
        <f>L330+L220+L340+L297+L174+L161+L78+L35+L314</f>
        <v>67313730.4</v>
      </c>
      <c r="M341" s="121">
        <f>M330+M220+M340+M297+M174+M161+M78+M35+M314</f>
        <v>36532630.4</v>
      </c>
      <c r="N341" s="121">
        <f>N330+N220+N340+N297+N174+N161+N78+N35+N314</f>
        <v>10747942.719999999</v>
      </c>
      <c r="O341" s="121">
        <f>O330+O220+O340+O297+O174+O161+O78+O35+O314</f>
        <v>8776395.89</v>
      </c>
      <c r="P341" s="66">
        <f>N341/L341*100</f>
        <v>15.966939666145732</v>
      </c>
      <c r="Q341" s="13" t="e">
        <f>Q330+Q220+Q340+Q297+Q174+Q161+Q78+Q35+Q314</f>
        <v>#REF!</v>
      </c>
      <c r="R341" s="115">
        <f t="shared" si="99"/>
        <v>491174910.49</v>
      </c>
      <c r="S341" s="115">
        <f t="shared" si="100"/>
        <v>169609259.49</v>
      </c>
      <c r="T341" s="138">
        <f>I341+N341</f>
        <v>118137203.76</v>
      </c>
      <c r="U341" s="138">
        <f t="shared" si="102"/>
        <v>8776395.89</v>
      </c>
      <c r="V341" s="92">
        <f t="shared" si="103"/>
        <v>24.0519621904436</v>
      </c>
    </row>
    <row r="342" spans="3:22" s="45" customFormat="1" ht="36" customHeight="1">
      <c r="C342" s="23"/>
      <c r="D342" s="23"/>
      <c r="E342" s="23"/>
      <c r="F342" s="41" t="s">
        <v>455</v>
      </c>
      <c r="G342" s="110">
        <f>G87+G98+G99+G118+G119+G130+G136+G146+G44+G48+G53+G74+G169</f>
        <v>69818338.09</v>
      </c>
      <c r="H342" s="110">
        <f>H87+H98+H99+H118+H119+H130+H136+H146+H44+H48+H53+H74+H169</f>
        <v>22033226.09</v>
      </c>
      <c r="I342" s="110">
        <f>I87+I98+I99+I118+I119+I130+I136+I146+I44+I48+I53+I74+I169</f>
        <v>21321589.509999998</v>
      </c>
      <c r="J342" s="25">
        <f t="shared" si="105"/>
        <v>30.53866662153315</v>
      </c>
      <c r="K342" s="1" t="e">
        <f>K81+K38+K242+#REF!+K279+K169+#REF!+K122+K60</f>
        <v>#REF!</v>
      </c>
      <c r="L342" s="110">
        <f>L87+L98+L99+L118+L119+L130+L136+L146+L44+L48+L53+L74+L169</f>
        <v>0</v>
      </c>
      <c r="M342" s="110">
        <f>M87+M98+M99+M118+M119+M130+M136+M146+M44+M48+M53+M74+M169</f>
        <v>0</v>
      </c>
      <c r="N342" s="110">
        <f>N87+N98+N99+N118+N119+N130+N136+N146+N44+N48+N53+N74+N169</f>
        <v>0</v>
      </c>
      <c r="O342" s="110">
        <f>O87+O98+O99+O118+O119+O130+O136+O146+O44+O48+O53+O74+O169</f>
        <v>0</v>
      </c>
      <c r="P342" s="66"/>
      <c r="Q342" s="67" t="e">
        <f>Q81+Q38+Q242+#REF!+Q279+Q169+#REF!+Q122+Q60</f>
        <v>#REF!</v>
      </c>
      <c r="R342" s="110">
        <f t="shared" si="99"/>
        <v>69818338.09</v>
      </c>
      <c r="S342" s="110">
        <f t="shared" si="100"/>
        <v>22033226.09</v>
      </c>
      <c r="T342" s="113">
        <f t="shared" si="101"/>
        <v>21321589.509999998</v>
      </c>
      <c r="U342" s="113"/>
      <c r="V342" s="26">
        <f t="shared" si="103"/>
        <v>30.53866662153315</v>
      </c>
    </row>
    <row r="343" spans="3:22" s="68" customFormat="1" ht="24.75" customHeight="1">
      <c r="C343" s="69"/>
      <c r="D343" s="69"/>
      <c r="E343" s="69"/>
      <c r="F343" s="70" t="s">
        <v>19</v>
      </c>
      <c r="G343" s="122">
        <f>G48</f>
        <v>53880000</v>
      </c>
      <c r="H343" s="122">
        <f>H48</f>
        <v>11713500</v>
      </c>
      <c r="I343" s="122">
        <f>I48</f>
        <v>11625716.78</v>
      </c>
      <c r="J343" s="25">
        <f t="shared" si="105"/>
        <v>21.577054157386787</v>
      </c>
      <c r="K343" s="10">
        <f>K48</f>
        <v>0</v>
      </c>
      <c r="L343" s="122">
        <f>L48</f>
        <v>0</v>
      </c>
      <c r="M343" s="122">
        <f>M48</f>
        <v>0</v>
      </c>
      <c r="N343" s="122">
        <f>N48</f>
        <v>0</v>
      </c>
      <c r="O343" s="136">
        <f>O48</f>
        <v>0</v>
      </c>
      <c r="P343" s="66"/>
      <c r="Q343" s="10">
        <f>Q48</f>
        <v>0</v>
      </c>
      <c r="R343" s="122">
        <f>R48</f>
        <v>53880000</v>
      </c>
      <c r="S343" s="122">
        <f>S48</f>
        <v>11713500</v>
      </c>
      <c r="T343" s="122">
        <f>T48</f>
        <v>11625716.78</v>
      </c>
      <c r="U343" s="113"/>
      <c r="V343" s="145">
        <f>T343/R343*100</f>
        <v>21.577054157386787</v>
      </c>
    </row>
    <row r="344" spans="3:22" s="71" customFormat="1" ht="21" customHeight="1">
      <c r="C344" s="72"/>
      <c r="D344" s="72"/>
      <c r="E344" s="72"/>
      <c r="F344" s="73" t="s">
        <v>20</v>
      </c>
      <c r="G344" s="123">
        <f aca="true" t="shared" si="107" ref="G344:O344">G87</f>
        <v>7787500</v>
      </c>
      <c r="H344" s="123">
        <f t="shared" si="107"/>
        <v>7787500</v>
      </c>
      <c r="I344" s="123">
        <f t="shared" si="107"/>
        <v>7787500</v>
      </c>
      <c r="J344" s="74">
        <f t="shared" si="107"/>
        <v>100</v>
      </c>
      <c r="K344" s="11">
        <f t="shared" si="107"/>
        <v>0</v>
      </c>
      <c r="L344" s="123">
        <f t="shared" si="107"/>
        <v>0</v>
      </c>
      <c r="M344" s="123">
        <f t="shared" si="107"/>
        <v>0</v>
      </c>
      <c r="N344" s="123">
        <f t="shared" si="107"/>
        <v>0</v>
      </c>
      <c r="O344" s="136">
        <f t="shared" si="107"/>
        <v>0</v>
      </c>
      <c r="P344" s="66"/>
      <c r="Q344" s="11">
        <f>Q87</f>
        <v>0</v>
      </c>
      <c r="R344" s="123">
        <f>R87</f>
        <v>7787500</v>
      </c>
      <c r="S344" s="123">
        <f>S87</f>
        <v>7787500</v>
      </c>
      <c r="T344" s="123">
        <f>T87</f>
        <v>7787500</v>
      </c>
      <c r="U344" s="113"/>
      <c r="V344" s="145">
        <f>T344/R344*100</f>
        <v>100</v>
      </c>
    </row>
    <row r="345" spans="3:19" s="83" customFormat="1" ht="72" customHeight="1">
      <c r="C345" s="148" t="s">
        <v>275</v>
      </c>
      <c r="D345" s="148"/>
      <c r="E345" s="148"/>
      <c r="F345" s="148"/>
      <c r="G345" s="148"/>
      <c r="H345" s="148"/>
      <c r="I345" s="81"/>
      <c r="K345" s="82"/>
      <c r="L345" s="82"/>
      <c r="M345" s="82"/>
      <c r="N345" s="101"/>
      <c r="O345" s="106"/>
      <c r="P345" s="149" t="s">
        <v>24</v>
      </c>
      <c r="Q345" s="149"/>
      <c r="R345" s="149"/>
      <c r="S345" s="149"/>
    </row>
  </sheetData>
  <sheetProtection/>
  <mergeCells count="28">
    <mergeCell ref="C6:V6"/>
    <mergeCell ref="C7:V7"/>
    <mergeCell ref="C4:V4"/>
    <mergeCell ref="C9:C12"/>
    <mergeCell ref="D9:D12"/>
    <mergeCell ref="E9:E12"/>
    <mergeCell ref="F9:F12"/>
    <mergeCell ref="G9:K9"/>
    <mergeCell ref="L9:Q9"/>
    <mergeCell ref="R9:V9"/>
    <mergeCell ref="V10:V12"/>
    <mergeCell ref="I10:I12"/>
    <mergeCell ref="J10:J12"/>
    <mergeCell ref="K10:K12"/>
    <mergeCell ref="L10:L12"/>
    <mergeCell ref="M10:M12"/>
    <mergeCell ref="N10:N12"/>
    <mergeCell ref="O11:O12"/>
    <mergeCell ref="U11:U12"/>
    <mergeCell ref="T10:T12"/>
    <mergeCell ref="C345:H345"/>
    <mergeCell ref="P345:S345"/>
    <mergeCell ref="P10:P12"/>
    <mergeCell ref="Q10:Q12"/>
    <mergeCell ref="R10:R12"/>
    <mergeCell ref="S10:S12"/>
    <mergeCell ref="G10:G12"/>
    <mergeCell ref="H10:H12"/>
  </mergeCells>
  <conditionalFormatting sqref="N42:N46 N48:O48 N337:Q338 K337:K338 N57:O57 N321:O321 H320:I321 M320:O320 N63:O64 Q63:Q64 Q51:Q57 Q66 Q48 K320:K321 Q59:Q61 M59:O61 Q42:Q46 N50:N56 N66:O69 Q320:Q321 P226:P273">
    <cfRule type="cellIs" priority="85" dxfId="78" operator="equal" stopIfTrue="1">
      <formula>0</formula>
    </cfRule>
  </conditionalFormatting>
  <conditionalFormatting sqref="Q67:Q69">
    <cfRule type="cellIs" priority="84" dxfId="78" operator="equal" stopIfTrue="1">
      <formula>0</formula>
    </cfRule>
  </conditionalFormatting>
  <conditionalFormatting sqref="N303:O305 I303:I305 I307 N307:O307 K307 K303:K305 Q307 Q303:Q305">
    <cfRule type="cellIs" priority="83" dxfId="78" operator="equal" stopIfTrue="1">
      <formula>0</formula>
    </cfRule>
  </conditionalFormatting>
  <conditionalFormatting sqref="I309 N311:O311 I311 N309:O309 K311 K309 Q309 Q311">
    <cfRule type="cellIs" priority="82" dxfId="78" operator="equal" stopIfTrue="1">
      <formula>0</formula>
    </cfRule>
  </conditionalFormatting>
  <conditionalFormatting sqref="N49:O49 Q49">
    <cfRule type="cellIs" priority="81" dxfId="78" operator="equal" stopIfTrue="1">
      <formula>0</formula>
    </cfRule>
  </conditionalFormatting>
  <conditionalFormatting sqref="Q50 O50:O56">
    <cfRule type="cellIs" priority="80" dxfId="78" operator="equal" stopIfTrue="1">
      <formula>0</formula>
    </cfRule>
  </conditionalFormatting>
  <conditionalFormatting sqref="M22:O22 K22 Q22">
    <cfRule type="cellIs" priority="79" dxfId="78" operator="equal" stopIfTrue="1">
      <formula>0</formula>
    </cfRule>
  </conditionalFormatting>
  <conditionalFormatting sqref="H25:I25 M24:O25 K24:K25 Q24:Q25">
    <cfRule type="cellIs" priority="78" dxfId="78" operator="equal" stopIfTrue="1">
      <formula>0</formula>
    </cfRule>
  </conditionalFormatting>
  <conditionalFormatting sqref="M27:O28 H28:I28 K27:K28 Q27:Q28">
    <cfRule type="cellIs" priority="77" dxfId="78" operator="equal" stopIfTrue="1">
      <formula>0</formula>
    </cfRule>
  </conditionalFormatting>
  <conditionalFormatting sqref="N32:O32 H32:I32 K32 Q32">
    <cfRule type="cellIs" priority="76" dxfId="78" operator="equal" stopIfTrue="1">
      <formula>0</formula>
    </cfRule>
  </conditionalFormatting>
  <conditionalFormatting sqref="Q41 H41:I41 K41">
    <cfRule type="cellIs" priority="75" dxfId="78" operator="equal" stopIfTrue="1">
      <formula>0</formula>
    </cfRule>
  </conditionalFormatting>
  <conditionalFormatting sqref="H47:I47 Q47 K47">
    <cfRule type="cellIs" priority="74" dxfId="78" operator="equal" stopIfTrue="1">
      <formula>0</formula>
    </cfRule>
  </conditionalFormatting>
  <conditionalFormatting sqref="M62:O62 H62:I62 K62 Q62">
    <cfRule type="cellIs" priority="73" dxfId="78" operator="equal" stopIfTrue="1">
      <formula>0</formula>
    </cfRule>
  </conditionalFormatting>
  <conditionalFormatting sqref="Q65 K65">
    <cfRule type="cellIs" priority="72" dxfId="78" operator="equal" stopIfTrue="1">
      <formula>0</formula>
    </cfRule>
  </conditionalFormatting>
  <conditionalFormatting sqref="Q70 G70:I70 K70">
    <cfRule type="cellIs" priority="71" dxfId="78" operator="equal" stopIfTrue="1">
      <formula>0</formula>
    </cfRule>
  </conditionalFormatting>
  <conditionalFormatting sqref="H76:K76 M76:O76 Q76">
    <cfRule type="cellIs" priority="70" dxfId="78" operator="equal" stopIfTrue="1">
      <formula>0</formula>
    </cfRule>
  </conditionalFormatting>
  <conditionalFormatting sqref="K86 Q86">
    <cfRule type="cellIs" priority="68" dxfId="78" operator="equal" stopIfTrue="1">
      <formula>0</formula>
    </cfRule>
  </conditionalFormatting>
  <conditionalFormatting sqref="M91:O91 K91 Q91">
    <cfRule type="cellIs" priority="67" dxfId="78" operator="equal" stopIfTrue="1">
      <formula>0</formula>
    </cfRule>
  </conditionalFormatting>
  <conditionalFormatting sqref="M96:O96 K96 I96 Q96">
    <cfRule type="cellIs" priority="66" dxfId="78" operator="equal" stopIfTrue="1">
      <formula>0</formula>
    </cfRule>
  </conditionalFormatting>
  <conditionalFormatting sqref="M101:O101 K101 Q101">
    <cfRule type="cellIs" priority="65" dxfId="78" operator="equal" stopIfTrue="1">
      <formula>0</formula>
    </cfRule>
  </conditionalFormatting>
  <conditionalFormatting sqref="M109:Q109 K109">
    <cfRule type="cellIs" priority="64" dxfId="78" operator="equal" stopIfTrue="1">
      <formula>0</formula>
    </cfRule>
  </conditionalFormatting>
  <conditionalFormatting sqref="M112:Q112 K112 H112:I112">
    <cfRule type="cellIs" priority="63" dxfId="78" operator="equal" stopIfTrue="1">
      <formula>0</formula>
    </cfRule>
  </conditionalFormatting>
  <conditionalFormatting sqref="H150:I150 O150 K150 Q150">
    <cfRule type="cellIs" priority="52" dxfId="78" operator="equal" stopIfTrue="1">
      <formula>0</formula>
    </cfRule>
  </conditionalFormatting>
  <conditionalFormatting sqref="M114:Q114 K114 H114:I114">
    <cfRule type="cellIs" priority="62" dxfId="78" operator="equal" stopIfTrue="1">
      <formula>0</formula>
    </cfRule>
  </conditionalFormatting>
  <conditionalFormatting sqref="M116:Q116 K116 H116:I116">
    <cfRule type="cellIs" priority="61" dxfId="78" operator="equal" stopIfTrue="1">
      <formula>0</formula>
    </cfRule>
  </conditionalFormatting>
  <conditionalFormatting sqref="O120 K120 Q120">
    <cfRule type="cellIs" priority="60" dxfId="78" operator="equal" stopIfTrue="1">
      <formula>0</formula>
    </cfRule>
  </conditionalFormatting>
  <conditionalFormatting sqref="H135:I135 M135:O135 K135 Q135">
    <cfRule type="cellIs" priority="55" dxfId="78" operator="equal" stopIfTrue="1">
      <formula>0</formula>
    </cfRule>
  </conditionalFormatting>
  <conditionalFormatting sqref="M141:O141 K141 Q141">
    <cfRule type="cellIs" priority="54" dxfId="78" operator="equal" stopIfTrue="1">
      <formula>0</formula>
    </cfRule>
  </conditionalFormatting>
  <conditionalFormatting sqref="I145 M145:O145 K145 Q145">
    <cfRule type="cellIs" priority="53" dxfId="78" operator="equal" stopIfTrue="1">
      <formula>0</formula>
    </cfRule>
  </conditionalFormatting>
  <conditionalFormatting sqref="H132:I132 M132:O132 K132 Q132">
    <cfRule type="cellIs" priority="59" dxfId="78" operator="equal" stopIfTrue="1">
      <formula>0</formula>
    </cfRule>
  </conditionalFormatting>
  <conditionalFormatting sqref="M124:O124 K124 Q124">
    <cfRule type="cellIs" priority="58" dxfId="78" operator="equal" stopIfTrue="1">
      <formula>0</formula>
    </cfRule>
  </conditionalFormatting>
  <conditionalFormatting sqref="H128:I128 M128:O128 K128 Q128">
    <cfRule type="cellIs" priority="56" dxfId="78" operator="equal" stopIfTrue="1">
      <formula>0</formula>
    </cfRule>
  </conditionalFormatting>
  <conditionalFormatting sqref="H157:I157 M157:O157 K156:K157 Q156:Q157">
    <cfRule type="cellIs" priority="49" dxfId="78" operator="equal" stopIfTrue="1">
      <formula>0</formula>
    </cfRule>
  </conditionalFormatting>
  <conditionalFormatting sqref="H30:I30 K30">
    <cfRule type="cellIs" priority="48" dxfId="78" operator="equal" stopIfTrue="1">
      <formula>0</formula>
    </cfRule>
  </conditionalFormatting>
  <conditionalFormatting sqref="G19:Q19">
    <cfRule type="cellIs" priority="47" dxfId="78" operator="equal" stopIfTrue="1">
      <formula>0</formula>
    </cfRule>
  </conditionalFormatting>
  <conditionalFormatting sqref="G27:G28 H27:I27">
    <cfRule type="cellIs" priority="46" dxfId="78" operator="equal" stopIfTrue="1">
      <formula>0</formula>
    </cfRule>
  </conditionalFormatting>
  <conditionalFormatting sqref="G30">
    <cfRule type="cellIs" priority="45" dxfId="78" operator="equal" stopIfTrue="1">
      <formula>0</formula>
    </cfRule>
  </conditionalFormatting>
  <conditionalFormatting sqref="L27:L28">
    <cfRule type="cellIs" priority="44" dxfId="78" operator="equal" stopIfTrue="1">
      <formula>0</formula>
    </cfRule>
  </conditionalFormatting>
  <conditionalFormatting sqref="L30:O30">
    <cfRule type="cellIs" priority="43" dxfId="78" operator="equal" stopIfTrue="1">
      <formula>0</formula>
    </cfRule>
  </conditionalFormatting>
  <conditionalFormatting sqref="G41">
    <cfRule type="cellIs" priority="42" dxfId="78" operator="equal" stopIfTrue="1">
      <formula>0</formula>
    </cfRule>
  </conditionalFormatting>
  <conditionalFormatting sqref="G47">
    <cfRule type="cellIs" priority="41" dxfId="78" operator="equal" stopIfTrue="1">
      <formula>0</formula>
    </cfRule>
  </conditionalFormatting>
  <conditionalFormatting sqref="G65:I65">
    <cfRule type="cellIs" priority="40" dxfId="78" operator="equal" stopIfTrue="1">
      <formula>0</formula>
    </cfRule>
  </conditionalFormatting>
  <conditionalFormatting sqref="L41:O41">
    <cfRule type="cellIs" priority="39" dxfId="78" operator="equal" stopIfTrue="1">
      <formula>0</formula>
    </cfRule>
  </conditionalFormatting>
  <conditionalFormatting sqref="L47:O47">
    <cfRule type="cellIs" priority="38" dxfId="78" operator="equal" stopIfTrue="1">
      <formula>0</formula>
    </cfRule>
  </conditionalFormatting>
  <conditionalFormatting sqref="L65:O65">
    <cfRule type="cellIs" priority="37" dxfId="78" operator="equal" stopIfTrue="1">
      <formula>0</formula>
    </cfRule>
  </conditionalFormatting>
  <conditionalFormatting sqref="L70:O70">
    <cfRule type="cellIs" priority="36" dxfId="78" operator="equal" stopIfTrue="1">
      <formula>0</formula>
    </cfRule>
  </conditionalFormatting>
  <conditionalFormatting sqref="G86:I86">
    <cfRule type="cellIs" priority="35" dxfId="78" operator="equal" stopIfTrue="1">
      <formula>0</formula>
    </cfRule>
  </conditionalFormatting>
  <conditionalFormatting sqref="G91:I91">
    <cfRule type="cellIs" priority="34" dxfId="78" operator="equal" stopIfTrue="1">
      <formula>0</formula>
    </cfRule>
  </conditionalFormatting>
  <conditionalFormatting sqref="G96:H96">
    <cfRule type="cellIs" priority="33" dxfId="78" operator="equal" stopIfTrue="1">
      <formula>0</formula>
    </cfRule>
  </conditionalFormatting>
  <conditionalFormatting sqref="G101:I101">
    <cfRule type="cellIs" priority="32" dxfId="78" operator="equal" stopIfTrue="1">
      <formula>0</formula>
    </cfRule>
  </conditionalFormatting>
  <conditionalFormatting sqref="G109:I109">
    <cfRule type="cellIs" priority="31" dxfId="78" operator="equal" stopIfTrue="1">
      <formula>0</formula>
    </cfRule>
  </conditionalFormatting>
  <conditionalFormatting sqref="G112">
    <cfRule type="cellIs" priority="30" dxfId="78" operator="equal" stopIfTrue="1">
      <formula>0</formula>
    </cfRule>
  </conditionalFormatting>
  <conditionalFormatting sqref="G114">
    <cfRule type="cellIs" priority="29" dxfId="78" operator="equal" stopIfTrue="1">
      <formula>0</formula>
    </cfRule>
  </conditionalFormatting>
  <conditionalFormatting sqref="G116">
    <cfRule type="cellIs" priority="28" dxfId="78" operator="equal" stopIfTrue="1">
      <formula>0</formula>
    </cfRule>
  </conditionalFormatting>
  <conditionalFormatting sqref="G120:I120">
    <cfRule type="cellIs" priority="27" dxfId="78" operator="equal" stopIfTrue="1">
      <formula>0</formula>
    </cfRule>
  </conditionalFormatting>
  <conditionalFormatting sqref="G124:I124">
    <cfRule type="cellIs" priority="26" dxfId="78" operator="equal" stopIfTrue="1">
      <formula>0</formula>
    </cfRule>
  </conditionalFormatting>
  <conditionalFormatting sqref="G128">
    <cfRule type="cellIs" priority="25" dxfId="78" operator="equal" stopIfTrue="1">
      <formula>0</formula>
    </cfRule>
  </conditionalFormatting>
  <conditionalFormatting sqref="G132">
    <cfRule type="cellIs" priority="24" dxfId="78" operator="equal" stopIfTrue="1">
      <formula>0</formula>
    </cfRule>
  </conditionalFormatting>
  <conditionalFormatting sqref="G135">
    <cfRule type="cellIs" priority="23" dxfId="78" operator="equal" stopIfTrue="1">
      <formula>0</formula>
    </cfRule>
  </conditionalFormatting>
  <conditionalFormatting sqref="G141:I141">
    <cfRule type="cellIs" priority="22" dxfId="78" operator="equal" stopIfTrue="1">
      <formula>0</formula>
    </cfRule>
  </conditionalFormatting>
  <conditionalFormatting sqref="G145:H145">
    <cfRule type="cellIs" priority="21" dxfId="78" operator="equal" stopIfTrue="1">
      <formula>0</formula>
    </cfRule>
  </conditionalFormatting>
  <conditionalFormatting sqref="G150">
    <cfRule type="cellIs" priority="20" dxfId="78" operator="equal" stopIfTrue="1">
      <formula>0</formula>
    </cfRule>
  </conditionalFormatting>
  <conditionalFormatting sqref="L91">
    <cfRule type="cellIs" priority="18" dxfId="78" operator="equal" stopIfTrue="1">
      <formula>0</formula>
    </cfRule>
  </conditionalFormatting>
  <conditionalFormatting sqref="L96">
    <cfRule type="cellIs" priority="17" dxfId="78" operator="equal" stopIfTrue="1">
      <formula>0</formula>
    </cfRule>
  </conditionalFormatting>
  <conditionalFormatting sqref="L101">
    <cfRule type="cellIs" priority="16" dxfId="78" operator="equal" stopIfTrue="1">
      <formula>0</formula>
    </cfRule>
  </conditionalFormatting>
  <conditionalFormatting sqref="L109">
    <cfRule type="cellIs" priority="15" dxfId="78" operator="equal" stopIfTrue="1">
      <formula>0</formula>
    </cfRule>
  </conditionalFormatting>
  <conditionalFormatting sqref="L112">
    <cfRule type="cellIs" priority="14" dxfId="78" operator="equal" stopIfTrue="1">
      <formula>0</formula>
    </cfRule>
  </conditionalFormatting>
  <conditionalFormatting sqref="L114">
    <cfRule type="cellIs" priority="13" dxfId="78" operator="equal" stopIfTrue="1">
      <formula>0</formula>
    </cfRule>
  </conditionalFormatting>
  <conditionalFormatting sqref="L116">
    <cfRule type="cellIs" priority="12" dxfId="78" operator="equal" stopIfTrue="1">
      <formula>0</formula>
    </cfRule>
  </conditionalFormatting>
  <conditionalFormatting sqref="L124">
    <cfRule type="cellIs" priority="11" dxfId="78" operator="equal" stopIfTrue="1">
      <formula>0</formula>
    </cfRule>
  </conditionalFormatting>
  <conditionalFormatting sqref="L128">
    <cfRule type="cellIs" priority="10" dxfId="78" operator="equal" stopIfTrue="1">
      <formula>0</formula>
    </cfRule>
  </conditionalFormatting>
  <conditionalFormatting sqref="L132">
    <cfRule type="cellIs" priority="9" dxfId="78" operator="equal" stopIfTrue="1">
      <formula>0</formula>
    </cfRule>
  </conditionalFormatting>
  <conditionalFormatting sqref="L135">
    <cfRule type="cellIs" priority="8" dxfId="78" operator="equal" stopIfTrue="1">
      <formula>0</formula>
    </cfRule>
  </conditionalFormatting>
  <conditionalFormatting sqref="L141">
    <cfRule type="cellIs" priority="7" dxfId="78" operator="equal" stopIfTrue="1">
      <formula>0</formula>
    </cfRule>
  </conditionalFormatting>
  <conditionalFormatting sqref="L145">
    <cfRule type="cellIs" priority="6" dxfId="78" operator="equal" stopIfTrue="1">
      <formula>0</formula>
    </cfRule>
  </conditionalFormatting>
  <conditionalFormatting sqref="L150:N150">
    <cfRule type="cellIs" priority="5" dxfId="78" operator="equal" stopIfTrue="1">
      <formula>0</formula>
    </cfRule>
  </conditionalFormatting>
  <conditionalFormatting sqref="L320">
    <cfRule type="cellIs" priority="2" dxfId="78" operator="equal" stopIfTrue="1">
      <formula>0</formula>
    </cfRule>
  </conditionalFormatting>
  <conditionalFormatting sqref="L86:O86">
    <cfRule type="cellIs" priority="1" dxfId="78" operator="equal" stopIfTrue="1">
      <formula>0</formula>
    </cfRule>
  </conditionalFormatting>
  <printOptions horizontalCentered="1"/>
  <pageMargins left="0.11811023622047245" right="0.11811023622047245" top="1.5748031496062993" bottom="0.3937007874015748" header="0.5118110236220472" footer="0"/>
  <pageSetup blackAndWhite="1" fitToHeight="25" fitToWidth="1" horizontalDpi="600" verticalDpi="600" orientation="landscape" paperSize="9" scale="42" r:id="rId1"/>
  <headerFooter differentFirst="1" alignWithMargins="0">
    <oddFooter>&amp;C&amp;P</oddFooter>
  </headerFooter>
  <rowBreaks count="3" manualBreakCount="3">
    <brk id="161" max="21" man="1"/>
    <brk id="225" max="21" man="1"/>
    <brk id="29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Корецкая</cp:lastModifiedBy>
  <cp:lastPrinted>2020-04-14T06:06:53Z</cp:lastPrinted>
  <dcterms:created xsi:type="dcterms:W3CDTF">2002-12-16T07:25:53Z</dcterms:created>
  <dcterms:modified xsi:type="dcterms:W3CDTF">2020-06-30T13:54:07Z</dcterms:modified>
  <cp:category/>
  <cp:version/>
  <cp:contentType/>
  <cp:contentStatus/>
</cp:coreProperties>
</file>